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_skoroszyt" defaultThemeVersion="124226"/>
  <bookViews>
    <workbookView xWindow="0" yWindow="0" windowWidth="28800" windowHeight="12435" tabRatio="798" firstSheet="1" activeTab="6"/>
  </bookViews>
  <sheets>
    <sheet name="Założenia-dane wejściowe " sheetId="1" r:id="rId1"/>
    <sheet name="Obliczenia-AF" sheetId="2" r:id="rId2"/>
    <sheet name="Obliczenia-AE" sheetId="3" r:id="rId3"/>
    <sheet name="Wyniki - RPP" sheetId="4" r:id="rId4"/>
    <sheet name="Wyniki-Luka_FNPV_ENPV   " sheetId="5" r:id="rId5"/>
    <sheet name="Wykres1 AW" sheetId="9" r:id="rId6"/>
    <sheet name="Wyniki-Analiza wrażliwości" sheetId="6" r:id="rId7"/>
    <sheet name="Analiza DGC" sheetId="8" r:id="rId8"/>
    <sheet name="Sprzedaż" sheetId="10" r:id="rId9"/>
    <sheet name="Bilans wody" sheetId="12" r:id="rId10"/>
    <sheet name="Bilans Ścieków" sheetId="13" r:id="rId11"/>
  </sheets>
  <definedNames>
    <definedName name="_xlnm.Print_Area" localSheetId="7">'Analiza DGC'!$A$1:$AH$66</definedName>
    <definedName name="_xlnm.Print_Area" localSheetId="2">'Obliczenia-AE'!$A$1:$AE$30</definedName>
    <definedName name="_xlnm.Print_Area" localSheetId="4">'Wyniki-Luka_FNPV_ENPV   '!$A$1:$AF$117</definedName>
    <definedName name="_xlnm.Print_Area" localSheetId="0">'Założenia-dane wejściowe '!$A$1:$AP$344</definedName>
  </definedNames>
  <calcPr calcId="152511"/>
</workbook>
</file>

<file path=xl/calcChain.xml><?xml version="1.0" encoding="utf-8"?>
<calcChain xmlns="http://schemas.openxmlformats.org/spreadsheetml/2006/main">
  <c r="B31" i="6" l="1"/>
  <c r="F197" i="1" l="1"/>
  <c r="I273" i="1" l="1"/>
  <c r="D273" i="1"/>
  <c r="I271" i="1"/>
  <c r="D271" i="1"/>
  <c r="D211" i="1"/>
  <c r="D209" i="1"/>
  <c r="D213" i="1" s="1"/>
  <c r="I178" i="1"/>
  <c r="H178" i="1"/>
  <c r="E178" i="1"/>
  <c r="D178" i="1"/>
  <c r="G178" i="1"/>
  <c r="C177" i="1"/>
  <c r="F178" i="1" l="1"/>
  <c r="C178" i="1" s="1"/>
  <c r="D57" i="1" l="1"/>
  <c r="D55" i="1"/>
  <c r="D51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D43" i="1"/>
  <c r="D44" i="1"/>
  <c r="G10" i="2" l="1"/>
  <c r="D26" i="2" s="1"/>
  <c r="G26" i="2" l="1"/>
  <c r="E26" i="2"/>
  <c r="C26" i="2"/>
  <c r="F26" i="2"/>
  <c r="H26" i="2"/>
  <c r="B25" i="2"/>
  <c r="C269" i="1" l="1"/>
  <c r="D270" i="1"/>
  <c r="E270" i="1"/>
  <c r="F270" i="1"/>
  <c r="G270" i="1"/>
  <c r="H270" i="1"/>
  <c r="I270" i="1"/>
  <c r="H285" i="1"/>
  <c r="D274" i="1"/>
  <c r="I274" i="1"/>
  <c r="D275" i="1"/>
  <c r="I275" i="1"/>
  <c r="D282" i="1"/>
  <c r="E282" i="1" s="1"/>
  <c r="F282" i="1" s="1"/>
  <c r="G282" i="1" s="1"/>
  <c r="H282" i="1" s="1"/>
  <c r="C283" i="1"/>
  <c r="D283" i="1"/>
  <c r="E283" i="1"/>
  <c r="F283" i="1"/>
  <c r="I283" i="1" s="1"/>
  <c r="G283" i="1"/>
  <c r="H283" i="1"/>
  <c r="C285" i="1"/>
  <c r="D289" i="1"/>
  <c r="E289" i="1"/>
  <c r="F289" i="1"/>
  <c r="G289" i="1" s="1"/>
  <c r="H289" i="1" s="1"/>
  <c r="I289" i="1" s="1"/>
  <c r="C290" i="1"/>
  <c r="D290" i="1"/>
  <c r="E290" i="1"/>
  <c r="F290" i="1"/>
  <c r="G290" i="1"/>
  <c r="H290" i="1"/>
  <c r="I290" i="1"/>
  <c r="F259" i="1"/>
  <c r="E259" i="1"/>
  <c r="F191" i="1"/>
  <c r="E191" i="1"/>
  <c r="C270" i="1" l="1"/>
  <c r="I272" i="1"/>
  <c r="D272" i="1"/>
  <c r="I258" i="1" l="1"/>
  <c r="H258" i="1"/>
  <c r="G258" i="1"/>
  <c r="F258" i="1"/>
  <c r="E258" i="1"/>
  <c r="D258" i="1"/>
  <c r="C257" i="1"/>
  <c r="I198" i="1"/>
  <c r="H198" i="1"/>
  <c r="G198" i="1"/>
  <c r="F198" i="1"/>
  <c r="E198" i="1"/>
  <c r="D198" i="1"/>
  <c r="C197" i="1"/>
  <c r="C258" i="1" l="1"/>
  <c r="C198" i="1"/>
  <c r="I195" i="1"/>
  <c r="H195" i="1"/>
  <c r="G195" i="1"/>
  <c r="F195" i="1"/>
  <c r="E195" i="1"/>
  <c r="I204" i="1"/>
  <c r="H204" i="1"/>
  <c r="G204" i="1"/>
  <c r="F204" i="1"/>
  <c r="E204" i="1"/>
  <c r="D204" i="1"/>
  <c r="C203" i="1"/>
  <c r="H211" i="1" l="1"/>
  <c r="H209" i="1"/>
  <c r="H213" i="1" s="1"/>
  <c r="E209" i="1"/>
  <c r="E213" i="1" s="1"/>
  <c r="E211" i="1"/>
  <c r="I209" i="1"/>
  <c r="I211" i="1"/>
  <c r="F209" i="1"/>
  <c r="F213" i="1" s="1"/>
  <c r="F211" i="1"/>
  <c r="G211" i="1"/>
  <c r="G213" i="1" s="1"/>
  <c r="G209" i="1"/>
  <c r="C204" i="1"/>
  <c r="B18" i="2"/>
  <c r="C34" i="2" s="1"/>
  <c r="C179" i="1"/>
  <c r="C175" i="1"/>
  <c r="I213" i="1" l="1"/>
  <c r="C8" i="2"/>
  <c r="D8" i="2"/>
  <c r="E8" i="2"/>
  <c r="F8" i="2"/>
  <c r="F236" i="1"/>
  <c r="E236" i="1"/>
  <c r="I236" i="1"/>
  <c r="H236" i="1"/>
  <c r="D236" i="1"/>
  <c r="G236" i="1"/>
  <c r="G8" i="2" l="1"/>
  <c r="C236" i="1"/>
  <c r="C235" i="1"/>
  <c r="C2" i="12"/>
  <c r="D24" i="1"/>
  <c r="C19" i="4"/>
  <c r="D56" i="1"/>
  <c r="D54" i="1"/>
  <c r="D53" i="1"/>
  <c r="D52" i="1"/>
  <c r="D58" i="1"/>
  <c r="D38" i="1"/>
  <c r="D37" i="1"/>
  <c r="D36" i="1"/>
  <c r="D35" i="1"/>
  <c r="D34" i="1"/>
  <c r="D33" i="1"/>
  <c r="D32" i="1"/>
  <c r="D31" i="1"/>
  <c r="G125" i="1" l="1"/>
  <c r="H125" i="1"/>
  <c r="I125" i="1" s="1"/>
  <c r="J125" i="1" s="1"/>
  <c r="K125" i="1" s="1"/>
  <c r="L125" i="1" s="1"/>
  <c r="F255" i="1"/>
  <c r="E247" i="1" l="1"/>
  <c r="E2" i="13" l="1"/>
  <c r="C3" i="12"/>
  <c r="D3" i="12" s="1"/>
  <c r="E2" i="12"/>
  <c r="C4" i="12" l="1"/>
  <c r="E3" i="12"/>
  <c r="C209" i="1"/>
  <c r="C5" i="12" l="1"/>
  <c r="D4" i="12"/>
  <c r="E4" i="12" s="1"/>
  <c r="I206" i="1"/>
  <c r="H206" i="1"/>
  <c r="G206" i="1"/>
  <c r="F206" i="1"/>
  <c r="E206" i="1"/>
  <c r="D206" i="1"/>
  <c r="C205" i="1"/>
  <c r="I268" i="1"/>
  <c r="G268" i="1"/>
  <c r="F268" i="1"/>
  <c r="D268" i="1"/>
  <c r="H268" i="1"/>
  <c r="E268" i="1"/>
  <c r="C267" i="1"/>
  <c r="I208" i="1"/>
  <c r="H208" i="1"/>
  <c r="G208" i="1"/>
  <c r="D208" i="1"/>
  <c r="F208" i="1"/>
  <c r="E208" i="1"/>
  <c r="C207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C340" i="1"/>
  <c r="B20" i="3"/>
  <c r="C20" i="3" s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B24" i="3"/>
  <c r="C24" i="3" s="1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D5" i="12" l="1"/>
  <c r="C6" i="12"/>
  <c r="C206" i="1"/>
  <c r="C268" i="1"/>
  <c r="C208" i="1"/>
  <c r="C7" i="12" l="1"/>
  <c r="D6" i="12"/>
  <c r="E6" i="12" s="1"/>
  <c r="E5" i="12"/>
  <c r="E145" i="1"/>
  <c r="F145" i="1" s="1"/>
  <c r="E143" i="1"/>
  <c r="D152" i="2" s="1"/>
  <c r="E140" i="1"/>
  <c r="F140" i="1" s="1"/>
  <c r="G140" i="1" s="1"/>
  <c r="H140" i="1" s="1"/>
  <c r="I140" i="1" s="1"/>
  <c r="J140" i="1" s="1"/>
  <c r="K140" i="1" s="1"/>
  <c r="L140" i="1" s="1"/>
  <c r="M125" i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H125" i="1" s="1"/>
  <c r="AI125" i="1" s="1"/>
  <c r="E123" i="1"/>
  <c r="F123" i="1" s="1"/>
  <c r="E120" i="1"/>
  <c r="F120" i="1" s="1"/>
  <c r="G120" i="1" s="1"/>
  <c r="H120" i="1" s="1"/>
  <c r="I120" i="1" s="1"/>
  <c r="J120" i="1" s="1"/>
  <c r="K120" i="1" s="1"/>
  <c r="L120" i="1" s="1"/>
  <c r="D101" i="1"/>
  <c r="E38" i="1"/>
  <c r="F38" i="1" s="1"/>
  <c r="E37" i="1"/>
  <c r="F37" i="1" s="1"/>
  <c r="E36" i="1"/>
  <c r="F36" i="1" s="1"/>
  <c r="E34" i="1"/>
  <c r="F34" i="1" s="1"/>
  <c r="E32" i="1"/>
  <c r="F32" i="1" s="1"/>
  <c r="F72" i="1" s="1"/>
  <c r="E35" i="1"/>
  <c r="F35" i="1" s="1"/>
  <c r="E33" i="1"/>
  <c r="F33" i="1" s="1"/>
  <c r="C328" i="1"/>
  <c r="I266" i="1"/>
  <c r="H266" i="1"/>
  <c r="E266" i="1"/>
  <c r="D266" i="1"/>
  <c r="G266" i="1"/>
  <c r="F266" i="1"/>
  <c r="H263" i="1"/>
  <c r="G263" i="1"/>
  <c r="F263" i="1"/>
  <c r="E263" i="1"/>
  <c r="E221" i="1"/>
  <c r="F221" i="1"/>
  <c r="G221" i="1"/>
  <c r="H221" i="1"/>
  <c r="D221" i="1"/>
  <c r="I176" i="1"/>
  <c r="H176" i="1"/>
  <c r="G176" i="1"/>
  <c r="F176" i="1"/>
  <c r="E176" i="1"/>
  <c r="D176" i="1"/>
  <c r="I252" i="1"/>
  <c r="H252" i="1"/>
  <c r="G252" i="1"/>
  <c r="F252" i="1"/>
  <c r="E252" i="1"/>
  <c r="D252" i="1"/>
  <c r="C251" i="1"/>
  <c r="E273" i="1" l="1"/>
  <c r="E271" i="1"/>
  <c r="E275" i="1" s="1"/>
  <c r="F273" i="1"/>
  <c r="F274" i="1" s="1"/>
  <c r="F271" i="1"/>
  <c r="F275" i="1" s="1"/>
  <c r="G271" i="1"/>
  <c r="G273" i="1"/>
  <c r="G274" i="1" s="1"/>
  <c r="H271" i="1"/>
  <c r="H273" i="1"/>
  <c r="H274" i="1" s="1"/>
  <c r="H275" i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C8" i="12"/>
  <c r="E154" i="2"/>
  <c r="G145" i="1"/>
  <c r="H145" i="1" s="1"/>
  <c r="I145" i="1" s="1"/>
  <c r="J145" i="1" s="1"/>
  <c r="K145" i="1" s="1"/>
  <c r="E149" i="2"/>
  <c r="M120" i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AE120" i="1" s="1"/>
  <c r="AF120" i="1" s="1"/>
  <c r="AG120" i="1" s="1"/>
  <c r="AH120" i="1" s="1"/>
  <c r="AI120" i="1" s="1"/>
  <c r="F143" i="1"/>
  <c r="E152" i="2" s="1"/>
  <c r="F154" i="2"/>
  <c r="E52" i="1"/>
  <c r="F52" i="1" s="1"/>
  <c r="F101" i="1" s="1"/>
  <c r="D154" i="2"/>
  <c r="G123" i="1"/>
  <c r="D149" i="2"/>
  <c r="C266" i="1"/>
  <c r="C265" i="1"/>
  <c r="C176" i="1"/>
  <c r="C252" i="1"/>
  <c r="G272" i="1" l="1"/>
  <c r="F285" i="1"/>
  <c r="H272" i="1"/>
  <c r="G285" i="1"/>
  <c r="G275" i="1"/>
  <c r="F272" i="1"/>
  <c r="E285" i="1"/>
  <c r="C271" i="1"/>
  <c r="D285" i="1"/>
  <c r="I285" i="1" s="1"/>
  <c r="E272" i="1"/>
  <c r="C272" i="1" s="1"/>
  <c r="E274" i="1"/>
  <c r="C274" i="1" s="1"/>
  <c r="C273" i="1"/>
  <c r="C9" i="12"/>
  <c r="E8" i="12"/>
  <c r="E7" i="12"/>
  <c r="H123" i="1"/>
  <c r="I123" i="1" s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AG123" i="1" s="1"/>
  <c r="AH123" i="1" s="1"/>
  <c r="AI123" i="1" s="1"/>
  <c r="G143" i="1"/>
  <c r="F149" i="2"/>
  <c r="G154" i="2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I11" i="5"/>
  <c r="Z29" i="3"/>
  <c r="AA29" i="3"/>
  <c r="AB29" i="3"/>
  <c r="AC29" i="3"/>
  <c r="AD29" i="3"/>
  <c r="AE29" i="3"/>
  <c r="B28" i="3"/>
  <c r="B25" i="3"/>
  <c r="C335" i="1"/>
  <c r="B17" i="3" s="1"/>
  <c r="C333" i="1"/>
  <c r="B15" i="3" s="1"/>
  <c r="B16" i="3"/>
  <c r="B18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C14" i="3"/>
  <c r="D14" i="3"/>
  <c r="E14" i="3"/>
  <c r="F14" i="3"/>
  <c r="G14" i="3"/>
  <c r="H14" i="3"/>
  <c r="I14" i="3"/>
  <c r="B14" i="3"/>
  <c r="C337" i="1"/>
  <c r="B21" i="3" s="1"/>
  <c r="E9" i="12" l="1"/>
  <c r="C10" i="12"/>
  <c r="F152" i="2"/>
  <c r="H143" i="1"/>
  <c r="I143" i="1" s="1"/>
  <c r="J143" i="1" s="1"/>
  <c r="K143" i="1" s="1"/>
  <c r="L143" i="1" s="1"/>
  <c r="H154" i="2"/>
  <c r="G149" i="2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0" i="5"/>
  <c r="C21" i="3"/>
  <c r="D21" i="3" s="1"/>
  <c r="B263" i="2"/>
  <c r="B267" i="2" s="1"/>
  <c r="E10" i="12" l="1"/>
  <c r="C11" i="12"/>
  <c r="G152" i="2"/>
  <c r="I154" i="2"/>
  <c r="L145" i="1"/>
  <c r="H149" i="2"/>
  <c r="H152" i="2"/>
  <c r="B23" i="3"/>
  <c r="B204" i="2"/>
  <c r="C204" i="2" s="1"/>
  <c r="D204" i="2" s="1"/>
  <c r="E204" i="2" s="1"/>
  <c r="F204" i="2" s="1"/>
  <c r="G204" i="2" s="1"/>
  <c r="H204" i="2" s="1"/>
  <c r="I204" i="2" s="1"/>
  <c r="J204" i="2" s="1"/>
  <c r="K204" i="2" s="1"/>
  <c r="L204" i="2" s="1"/>
  <c r="M204" i="2" s="1"/>
  <c r="N204" i="2" s="1"/>
  <c r="O204" i="2" s="1"/>
  <c r="P204" i="2" s="1"/>
  <c r="Q204" i="2" s="1"/>
  <c r="R204" i="2" s="1"/>
  <c r="S204" i="2" s="1"/>
  <c r="T204" i="2" s="1"/>
  <c r="U204" i="2" s="1"/>
  <c r="V204" i="2" s="1"/>
  <c r="W204" i="2" s="1"/>
  <c r="X204" i="2" s="1"/>
  <c r="Y204" i="2" s="1"/>
  <c r="Z204" i="2" s="1"/>
  <c r="AA204" i="2" s="1"/>
  <c r="AB204" i="2" s="1"/>
  <c r="AC204" i="2" s="1"/>
  <c r="AD204" i="2" s="1"/>
  <c r="AE204" i="2" s="1"/>
  <c r="AF204" i="2" s="1"/>
  <c r="AG204" i="2" s="1"/>
  <c r="C180" i="2"/>
  <c r="D180" i="2" s="1"/>
  <c r="E180" i="2" s="1"/>
  <c r="F180" i="2" s="1"/>
  <c r="G180" i="2" s="1"/>
  <c r="H180" i="2" s="1"/>
  <c r="I180" i="2" s="1"/>
  <c r="J180" i="2" s="1"/>
  <c r="K180" i="2" s="1"/>
  <c r="L180" i="2" s="1"/>
  <c r="M180" i="2" s="1"/>
  <c r="N180" i="2" s="1"/>
  <c r="O180" i="2" s="1"/>
  <c r="P180" i="2" s="1"/>
  <c r="Q180" i="2" s="1"/>
  <c r="R180" i="2" s="1"/>
  <c r="S180" i="2" s="1"/>
  <c r="T180" i="2" s="1"/>
  <c r="U180" i="2" s="1"/>
  <c r="V180" i="2" s="1"/>
  <c r="W180" i="2" s="1"/>
  <c r="X180" i="2" s="1"/>
  <c r="Y180" i="2" s="1"/>
  <c r="Z180" i="2" s="1"/>
  <c r="AA180" i="2" s="1"/>
  <c r="AB180" i="2" s="1"/>
  <c r="AC180" i="2" s="1"/>
  <c r="AD180" i="2" s="1"/>
  <c r="AE180" i="2" s="1"/>
  <c r="AF180" i="2" s="1"/>
  <c r="AG180" i="2" s="1"/>
  <c r="C154" i="2"/>
  <c r="C152" i="2"/>
  <c r="C149" i="2"/>
  <c r="D148" i="2"/>
  <c r="E148" i="2" s="1"/>
  <c r="F148" i="2" s="1"/>
  <c r="G148" i="2" s="1"/>
  <c r="H148" i="2" s="1"/>
  <c r="I148" i="2" s="1"/>
  <c r="J148" i="2" s="1"/>
  <c r="K148" i="2" s="1"/>
  <c r="L148" i="2" s="1"/>
  <c r="M148" i="2" s="1"/>
  <c r="N148" i="2" s="1"/>
  <c r="O148" i="2" s="1"/>
  <c r="P148" i="2" s="1"/>
  <c r="Q148" i="2" s="1"/>
  <c r="R148" i="2" s="1"/>
  <c r="S148" i="2" s="1"/>
  <c r="T148" i="2" s="1"/>
  <c r="U148" i="2" s="1"/>
  <c r="V148" i="2" s="1"/>
  <c r="W148" i="2" s="1"/>
  <c r="X148" i="2" s="1"/>
  <c r="Y148" i="2" s="1"/>
  <c r="Z148" i="2" s="1"/>
  <c r="AA148" i="2" s="1"/>
  <c r="AB148" i="2" s="1"/>
  <c r="AC148" i="2" s="1"/>
  <c r="AD148" i="2" s="1"/>
  <c r="AE148" i="2" s="1"/>
  <c r="AF148" i="2" s="1"/>
  <c r="AG148" i="2" s="1"/>
  <c r="AH148" i="2" s="1"/>
  <c r="D108" i="2"/>
  <c r="E108" i="2" s="1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AG108" i="2" s="1"/>
  <c r="AH108" i="2" s="1"/>
  <c r="C130" i="2"/>
  <c r="C135" i="2"/>
  <c r="C70" i="2"/>
  <c r="D70" i="2" s="1"/>
  <c r="E70" i="2" s="1"/>
  <c r="F70" i="2" s="1"/>
  <c r="G70" i="2" s="1"/>
  <c r="H70" i="2" s="1"/>
  <c r="I70" i="2" s="1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AF70" i="2" s="1"/>
  <c r="AG70" i="2" s="1"/>
  <c r="AH70" i="2" s="1"/>
  <c r="C72" i="2"/>
  <c r="D72" i="2" s="1"/>
  <c r="E72" i="2" s="1"/>
  <c r="C73" i="2"/>
  <c r="D73" i="2" s="1"/>
  <c r="E73" i="2" s="1"/>
  <c r="F73" i="2" s="1"/>
  <c r="G73" i="2" s="1"/>
  <c r="H73" i="2" s="1"/>
  <c r="I73" i="2" s="1"/>
  <c r="J73" i="2" s="1"/>
  <c r="K73" i="2" s="1"/>
  <c r="L73" i="2" s="1"/>
  <c r="M73" i="2" s="1"/>
  <c r="N73" i="2" s="1"/>
  <c r="O73" i="2" s="1"/>
  <c r="P73" i="2" s="1"/>
  <c r="Q73" i="2" s="1"/>
  <c r="R73" i="2" s="1"/>
  <c r="S73" i="2" s="1"/>
  <c r="T73" i="2" s="1"/>
  <c r="U73" i="2" s="1"/>
  <c r="V73" i="2" s="1"/>
  <c r="W73" i="2" s="1"/>
  <c r="X73" i="2" s="1"/>
  <c r="Y73" i="2" s="1"/>
  <c r="Z73" i="2" s="1"/>
  <c r="AA73" i="2" s="1"/>
  <c r="AB73" i="2" s="1"/>
  <c r="AC73" i="2" s="1"/>
  <c r="AD73" i="2" s="1"/>
  <c r="AE73" i="2" s="1"/>
  <c r="AF73" i="2" s="1"/>
  <c r="AG73" i="2" s="1"/>
  <c r="AH73" i="2" s="1"/>
  <c r="C74" i="2"/>
  <c r="C75" i="2"/>
  <c r="D68" i="2"/>
  <c r="E68" i="2" s="1"/>
  <c r="F68" i="2" s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X68" i="2" s="1"/>
  <c r="Y68" i="2" s="1"/>
  <c r="Z68" i="2" s="1"/>
  <c r="AA68" i="2" s="1"/>
  <c r="AB68" i="2" s="1"/>
  <c r="AC68" i="2" s="1"/>
  <c r="AD68" i="2" s="1"/>
  <c r="AE68" i="2" s="1"/>
  <c r="AF68" i="2" s="1"/>
  <c r="AG68" i="2" s="1"/>
  <c r="AH68" i="2" s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H90" i="2" s="1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C18" i="2"/>
  <c r="D34" i="2" s="1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B32" i="2"/>
  <c r="B2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B17" i="2"/>
  <c r="B14" i="2"/>
  <c r="C14" i="2" s="1"/>
  <c r="D14" i="2" s="1"/>
  <c r="E14" i="2" s="1"/>
  <c r="F14" i="2" s="1"/>
  <c r="B15" i="2"/>
  <c r="C15" i="2" s="1"/>
  <c r="D15" i="2" s="1"/>
  <c r="E15" i="2" s="1"/>
  <c r="B13" i="2"/>
  <c r="D96" i="1"/>
  <c r="C114" i="2" s="1"/>
  <c r="D94" i="1"/>
  <c r="C112" i="2" s="1"/>
  <c r="B24" i="2"/>
  <c r="B20" i="2"/>
  <c r="D71" i="1" s="1"/>
  <c r="B193" i="2" s="1"/>
  <c r="B8" i="2"/>
  <c r="H4" i="2"/>
  <c r="G4" i="2"/>
  <c r="F4" i="2"/>
  <c r="E4" i="2"/>
  <c r="D4" i="2"/>
  <c r="C4" i="2"/>
  <c r="F75" i="1" s="1"/>
  <c r="B4" i="2"/>
  <c r="J290" i="1"/>
  <c r="K290" i="1"/>
  <c r="L290" i="1"/>
  <c r="M290" i="1"/>
  <c r="N290" i="1"/>
  <c r="O290" i="1"/>
  <c r="P290" i="1"/>
  <c r="Q290" i="1"/>
  <c r="R290" i="1"/>
  <c r="S290" i="1"/>
  <c r="U290" i="1"/>
  <c r="V290" i="1"/>
  <c r="W290" i="1"/>
  <c r="X290" i="1"/>
  <c r="Z290" i="1"/>
  <c r="AA290" i="1"/>
  <c r="AB290" i="1"/>
  <c r="AC290" i="1"/>
  <c r="AE290" i="1"/>
  <c r="AF290" i="1"/>
  <c r="AG290" i="1"/>
  <c r="AH290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U294" i="1"/>
  <c r="V294" i="1"/>
  <c r="W294" i="1"/>
  <c r="X294" i="1"/>
  <c r="Z294" i="1"/>
  <c r="AA294" i="1"/>
  <c r="AB294" i="1"/>
  <c r="AC294" i="1"/>
  <c r="AE294" i="1"/>
  <c r="AF294" i="1"/>
  <c r="AG294" i="1"/>
  <c r="AH294" i="1"/>
  <c r="C294" i="1"/>
  <c r="B148" i="1"/>
  <c r="C41" i="2"/>
  <c r="D41" i="2" s="1"/>
  <c r="E41" i="2" s="1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C25" i="4" l="1"/>
  <c r="D100" i="1"/>
  <c r="B205" i="2" s="1"/>
  <c r="D18" i="2"/>
  <c r="C12" i="12"/>
  <c r="E11" i="12"/>
  <c r="I149" i="2"/>
  <c r="I152" i="2"/>
  <c r="J154" i="2"/>
  <c r="C298" i="1"/>
  <c r="AE90" i="2"/>
  <c r="AA90" i="2"/>
  <c r="W90" i="2"/>
  <c r="S90" i="2"/>
  <c r="O90" i="2"/>
  <c r="K90" i="2"/>
  <c r="G90" i="2"/>
  <c r="AD90" i="2"/>
  <c r="Z90" i="2"/>
  <c r="V90" i="2"/>
  <c r="R90" i="2"/>
  <c r="N90" i="2"/>
  <c r="J90" i="2"/>
  <c r="F90" i="2"/>
  <c r="AG90" i="2"/>
  <c r="AC90" i="2"/>
  <c r="Y90" i="2"/>
  <c r="U90" i="2"/>
  <c r="Q90" i="2"/>
  <c r="M90" i="2"/>
  <c r="I90" i="2"/>
  <c r="E90" i="2"/>
  <c r="C90" i="2"/>
  <c r="AF90" i="2"/>
  <c r="AB90" i="2"/>
  <c r="X90" i="2"/>
  <c r="T90" i="2"/>
  <c r="P90" i="2"/>
  <c r="L90" i="2"/>
  <c r="H90" i="2"/>
  <c r="D90" i="2"/>
  <c r="C231" i="2"/>
  <c r="D231" i="2" s="1"/>
  <c r="E231" i="2" s="1"/>
  <c r="F231" i="2" s="1"/>
  <c r="G231" i="2" s="1"/>
  <c r="H231" i="2" s="1"/>
  <c r="I231" i="2" s="1"/>
  <c r="J231" i="2" s="1"/>
  <c r="K231" i="2" s="1"/>
  <c r="L231" i="2" s="1"/>
  <c r="M231" i="2" s="1"/>
  <c r="N231" i="2" s="1"/>
  <c r="O231" i="2" s="1"/>
  <c r="P231" i="2" s="1"/>
  <c r="Q231" i="2" s="1"/>
  <c r="R231" i="2" s="1"/>
  <c r="S231" i="2" s="1"/>
  <c r="T231" i="2" s="1"/>
  <c r="U231" i="2" s="1"/>
  <c r="V231" i="2" s="1"/>
  <c r="W231" i="2" s="1"/>
  <c r="X231" i="2" s="1"/>
  <c r="Y231" i="2" s="1"/>
  <c r="Z231" i="2" s="1"/>
  <c r="AA231" i="2" s="1"/>
  <c r="AB231" i="2" s="1"/>
  <c r="AC231" i="2" s="1"/>
  <c r="AD231" i="2" s="1"/>
  <c r="AE231" i="2" s="1"/>
  <c r="AF231" i="2" s="1"/>
  <c r="AG231" i="2" s="1"/>
  <c r="B232" i="2"/>
  <c r="B217" i="2"/>
  <c r="E78" i="2"/>
  <c r="E82" i="2" s="1"/>
  <c r="C79" i="2"/>
  <c r="C83" i="2" s="1"/>
  <c r="D74" i="2"/>
  <c r="E74" i="2" s="1"/>
  <c r="F72" i="2"/>
  <c r="D75" i="2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AG75" i="2" s="1"/>
  <c r="AH75" i="2" s="1"/>
  <c r="C78" i="2"/>
  <c r="C82" i="2" s="1"/>
  <c r="D78" i="2"/>
  <c r="D82" i="2" s="1"/>
  <c r="O33" i="2"/>
  <c r="D33" i="2"/>
  <c r="D32" i="2" s="1"/>
  <c r="G33" i="2"/>
  <c r="L33" i="2"/>
  <c r="H33" i="2"/>
  <c r="P33" i="2"/>
  <c r="C33" i="2"/>
  <c r="C32" i="2" s="1"/>
  <c r="K33" i="2"/>
  <c r="S33" i="2"/>
  <c r="E33" i="2"/>
  <c r="I33" i="2"/>
  <c r="M33" i="2"/>
  <c r="Q33" i="2"/>
  <c r="F33" i="2"/>
  <c r="J33" i="2"/>
  <c r="N33" i="2"/>
  <c r="R33" i="2"/>
  <c r="B12" i="2"/>
  <c r="AC298" i="1"/>
  <c r="AA12" i="5" s="1"/>
  <c r="W298" i="1"/>
  <c r="U12" i="5" s="1"/>
  <c r="N298" i="1"/>
  <c r="L12" i="5" s="1"/>
  <c r="J298" i="1"/>
  <c r="K38" i="4" s="1"/>
  <c r="AA298" i="1"/>
  <c r="Y12" i="5" s="1"/>
  <c r="Q298" i="1"/>
  <c r="O12" i="5" s="1"/>
  <c r="I298" i="1"/>
  <c r="AE298" i="1"/>
  <c r="AC12" i="5" s="1"/>
  <c r="Z298" i="1"/>
  <c r="X12" i="5" s="1"/>
  <c r="U298" i="1"/>
  <c r="S12" i="5" s="1"/>
  <c r="AG298" i="1"/>
  <c r="R298" i="1"/>
  <c r="P12" i="5" s="1"/>
  <c r="F298" i="1"/>
  <c r="V298" i="1"/>
  <c r="T12" i="5" s="1"/>
  <c r="M298" i="1"/>
  <c r="K12" i="5" s="1"/>
  <c r="E298" i="1"/>
  <c r="AH298" i="1"/>
  <c r="AF12" i="5" s="1"/>
  <c r="P298" i="1"/>
  <c r="N12" i="5" s="1"/>
  <c r="L298" i="1"/>
  <c r="H298" i="1"/>
  <c r="AF298" i="1"/>
  <c r="AD12" i="5" s="1"/>
  <c r="AB298" i="1"/>
  <c r="Z12" i="5" s="1"/>
  <c r="X298" i="1"/>
  <c r="V12" i="5" s="1"/>
  <c r="S298" i="1"/>
  <c r="Q12" i="5" s="1"/>
  <c r="O298" i="1"/>
  <c r="M12" i="5" s="1"/>
  <c r="K298" i="1"/>
  <c r="G298" i="1"/>
  <c r="D298" i="1"/>
  <c r="C16" i="2"/>
  <c r="B16" i="2"/>
  <c r="F15" i="2"/>
  <c r="G14" i="2"/>
  <c r="H14" i="2" s="1"/>
  <c r="J12" i="5" l="1"/>
  <c r="M38" i="4"/>
  <c r="I12" i="5"/>
  <c r="L38" i="4"/>
  <c r="E34" i="2"/>
  <c r="E18" i="2" s="1"/>
  <c r="D16" i="2"/>
  <c r="C13" i="12"/>
  <c r="E12" i="12"/>
  <c r="J152" i="2"/>
  <c r="M145" i="1"/>
  <c r="K154" i="2"/>
  <c r="J149" i="2"/>
  <c r="AH38" i="4"/>
  <c r="AE12" i="5"/>
  <c r="E79" i="2"/>
  <c r="E83" i="2" s="1"/>
  <c r="F74" i="2"/>
  <c r="G72" i="2"/>
  <c r="F78" i="2"/>
  <c r="F82" i="2" s="1"/>
  <c r="D79" i="2"/>
  <c r="D83" i="2" s="1"/>
  <c r="G15" i="2"/>
  <c r="I14" i="2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E32" i="2" l="1"/>
  <c r="F34" i="2"/>
  <c r="F32" i="2" s="1"/>
  <c r="E16" i="2"/>
  <c r="C14" i="12"/>
  <c r="E13" i="12"/>
  <c r="N145" i="1"/>
  <c r="L154" i="2"/>
  <c r="K149" i="2"/>
  <c r="M140" i="1"/>
  <c r="K152" i="2"/>
  <c r="M143" i="1"/>
  <c r="AH41" i="4"/>
  <c r="AH39" i="4"/>
  <c r="G78" i="2"/>
  <c r="G82" i="2" s="1"/>
  <c r="H72" i="2"/>
  <c r="G74" i="2"/>
  <c r="F79" i="2"/>
  <c r="F83" i="2" s="1"/>
  <c r="H15" i="2"/>
  <c r="T14" i="2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F18" i="2" l="1"/>
  <c r="G34" i="2"/>
  <c r="G32" i="2" s="1"/>
  <c r="F16" i="2"/>
  <c r="C15" i="12"/>
  <c r="E14" i="12"/>
  <c r="L149" i="2"/>
  <c r="N140" i="1"/>
  <c r="L152" i="2"/>
  <c r="N143" i="1"/>
  <c r="O145" i="1"/>
  <c r="M154" i="2"/>
  <c r="H78" i="2"/>
  <c r="H82" i="2" s="1"/>
  <c r="I72" i="2"/>
  <c r="H74" i="2"/>
  <c r="G79" i="2"/>
  <c r="G83" i="2" s="1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G18" i="2" l="1"/>
  <c r="C16" i="12"/>
  <c r="E15" i="12"/>
  <c r="O143" i="1"/>
  <c r="M152" i="2"/>
  <c r="O140" i="1"/>
  <c r="M149" i="2"/>
  <c r="P145" i="1"/>
  <c r="N154" i="2"/>
  <c r="I78" i="2"/>
  <c r="I82" i="2" s="1"/>
  <c r="J72" i="2"/>
  <c r="H79" i="2"/>
  <c r="H83" i="2" s="1"/>
  <c r="I74" i="2"/>
  <c r="T15" i="2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H34" i="2" l="1"/>
  <c r="H32" i="2" s="1"/>
  <c r="G16" i="2"/>
  <c r="C17" i="12"/>
  <c r="E16" i="12"/>
  <c r="N149" i="2"/>
  <c r="P140" i="1"/>
  <c r="Q145" i="1"/>
  <c r="O154" i="2"/>
  <c r="P143" i="1"/>
  <c r="N152" i="2"/>
  <c r="J78" i="2"/>
  <c r="J82" i="2" s="1"/>
  <c r="K72" i="2"/>
  <c r="I79" i="2"/>
  <c r="I83" i="2" s="1"/>
  <c r="J74" i="2"/>
  <c r="H18" i="2" l="1"/>
  <c r="C18" i="12"/>
  <c r="E17" i="12"/>
  <c r="R145" i="1"/>
  <c r="P154" i="2"/>
  <c r="Q140" i="1"/>
  <c r="O149" i="2"/>
  <c r="Q143" i="1"/>
  <c r="O152" i="2"/>
  <c r="K74" i="2"/>
  <c r="J79" i="2"/>
  <c r="J83" i="2" s="1"/>
  <c r="K78" i="2"/>
  <c r="K82" i="2" s="1"/>
  <c r="L72" i="2"/>
  <c r="I34" i="2" l="1"/>
  <c r="I32" i="2" s="1"/>
  <c r="H16" i="2"/>
  <c r="C19" i="12"/>
  <c r="E18" i="12"/>
  <c r="P149" i="2"/>
  <c r="R140" i="1"/>
  <c r="R143" i="1"/>
  <c r="P152" i="2"/>
  <c r="S145" i="1"/>
  <c r="Q154" i="2"/>
  <c r="L74" i="2"/>
  <c r="K79" i="2"/>
  <c r="K83" i="2" s="1"/>
  <c r="L78" i="2"/>
  <c r="L82" i="2" s="1"/>
  <c r="M72" i="2"/>
  <c r="I18" i="2" l="1"/>
  <c r="C20" i="12"/>
  <c r="E19" i="12"/>
  <c r="S143" i="1"/>
  <c r="Q152" i="2"/>
  <c r="Q149" i="2"/>
  <c r="S140" i="1"/>
  <c r="T145" i="1"/>
  <c r="R154" i="2"/>
  <c r="L79" i="2"/>
  <c r="L83" i="2" s="1"/>
  <c r="M74" i="2"/>
  <c r="N72" i="2"/>
  <c r="M78" i="2"/>
  <c r="M82" i="2" s="1"/>
  <c r="J34" i="2" l="1"/>
  <c r="J32" i="2" s="1"/>
  <c r="I16" i="2"/>
  <c r="C21" i="12"/>
  <c r="E20" i="12"/>
  <c r="R149" i="2"/>
  <c r="T140" i="1"/>
  <c r="U145" i="1"/>
  <c r="S154" i="2"/>
  <c r="T143" i="1"/>
  <c r="R152" i="2"/>
  <c r="O72" i="2"/>
  <c r="N78" i="2"/>
  <c r="N82" i="2" s="1"/>
  <c r="M79" i="2"/>
  <c r="M83" i="2" s="1"/>
  <c r="N74" i="2"/>
  <c r="J18" i="2" l="1"/>
  <c r="C22" i="12"/>
  <c r="E21" i="12"/>
  <c r="V145" i="1"/>
  <c r="T154" i="2"/>
  <c r="U140" i="1"/>
  <c r="S149" i="2"/>
  <c r="U143" i="1"/>
  <c r="S152" i="2"/>
  <c r="O78" i="2"/>
  <c r="O82" i="2" s="1"/>
  <c r="P72" i="2"/>
  <c r="O74" i="2"/>
  <c r="N79" i="2"/>
  <c r="N83" i="2" s="1"/>
  <c r="K34" i="2" l="1"/>
  <c r="K32" i="2" s="1"/>
  <c r="J16" i="2"/>
  <c r="C23" i="12"/>
  <c r="E22" i="12"/>
  <c r="T149" i="2"/>
  <c r="V140" i="1"/>
  <c r="V143" i="1"/>
  <c r="T152" i="2"/>
  <c r="W145" i="1"/>
  <c r="U154" i="2"/>
  <c r="P74" i="2"/>
  <c r="O79" i="2"/>
  <c r="O83" i="2" s="1"/>
  <c r="P78" i="2"/>
  <c r="P82" i="2" s="1"/>
  <c r="Q72" i="2"/>
  <c r="K18" i="2" l="1"/>
  <c r="C24" i="12"/>
  <c r="E23" i="12"/>
  <c r="W143" i="1"/>
  <c r="U152" i="2"/>
  <c r="W140" i="1"/>
  <c r="U149" i="2"/>
  <c r="X145" i="1"/>
  <c r="V154" i="2"/>
  <c r="Q78" i="2"/>
  <c r="Q82" i="2" s="1"/>
  <c r="R72" i="2"/>
  <c r="P79" i="2"/>
  <c r="P83" i="2" s="1"/>
  <c r="Q74" i="2"/>
  <c r="L34" i="2" l="1"/>
  <c r="L32" i="2" s="1"/>
  <c r="K16" i="2"/>
  <c r="C25" i="12"/>
  <c r="E24" i="12"/>
  <c r="V149" i="2"/>
  <c r="X140" i="1"/>
  <c r="Y145" i="1"/>
  <c r="W154" i="2"/>
  <c r="X143" i="1"/>
  <c r="V152" i="2"/>
  <c r="R78" i="2"/>
  <c r="R82" i="2" s="1"/>
  <c r="S72" i="2"/>
  <c r="Q79" i="2"/>
  <c r="Q83" i="2" s="1"/>
  <c r="R74" i="2"/>
  <c r="L18" i="2" l="1"/>
  <c r="C26" i="12"/>
  <c r="E25" i="12"/>
  <c r="Z145" i="1"/>
  <c r="X154" i="2"/>
  <c r="Y140" i="1"/>
  <c r="W149" i="2"/>
  <c r="Y143" i="1"/>
  <c r="W152" i="2"/>
  <c r="S74" i="2"/>
  <c r="R79" i="2"/>
  <c r="R83" i="2" s="1"/>
  <c r="S78" i="2"/>
  <c r="S82" i="2" s="1"/>
  <c r="T72" i="2"/>
  <c r="M34" i="2" l="1"/>
  <c r="M32" i="2" s="1"/>
  <c r="L16" i="2"/>
  <c r="C27" i="12"/>
  <c r="E26" i="12"/>
  <c r="X149" i="2"/>
  <c r="Z140" i="1"/>
  <c r="Z143" i="1"/>
  <c r="X152" i="2"/>
  <c r="AA145" i="1"/>
  <c r="Y154" i="2"/>
  <c r="T74" i="2"/>
  <c r="S79" i="2"/>
  <c r="S83" i="2" s="1"/>
  <c r="T78" i="2"/>
  <c r="T82" i="2" s="1"/>
  <c r="U72" i="2"/>
  <c r="M18" i="2" l="1"/>
  <c r="C28" i="12"/>
  <c r="E27" i="12"/>
  <c r="AA143" i="1"/>
  <c r="Y152" i="2"/>
  <c r="AA140" i="1"/>
  <c r="Y149" i="2"/>
  <c r="AB145" i="1"/>
  <c r="Z154" i="2"/>
  <c r="T79" i="2"/>
  <c r="T83" i="2" s="1"/>
  <c r="U74" i="2"/>
  <c r="U78" i="2"/>
  <c r="U82" i="2" s="1"/>
  <c r="V72" i="2"/>
  <c r="N34" i="2" l="1"/>
  <c r="N32" i="2" s="1"/>
  <c r="M16" i="2"/>
  <c r="C29" i="12"/>
  <c r="E28" i="12"/>
  <c r="Z149" i="2"/>
  <c r="AB140" i="1"/>
  <c r="AC145" i="1"/>
  <c r="AA154" i="2"/>
  <c r="AB143" i="1"/>
  <c r="Z152" i="2"/>
  <c r="W72" i="2"/>
  <c r="V78" i="2"/>
  <c r="V82" i="2" s="1"/>
  <c r="U79" i="2"/>
  <c r="U83" i="2" s="1"/>
  <c r="V74" i="2"/>
  <c r="N18" i="2" l="1"/>
  <c r="C30" i="12"/>
  <c r="E29" i="12"/>
  <c r="AD145" i="1"/>
  <c r="AB154" i="2"/>
  <c r="AC140" i="1"/>
  <c r="AA149" i="2"/>
  <c r="AC143" i="1"/>
  <c r="AA152" i="2"/>
  <c r="W74" i="2"/>
  <c r="V79" i="2"/>
  <c r="V83" i="2" s="1"/>
  <c r="W78" i="2"/>
  <c r="W82" i="2" s="1"/>
  <c r="X72" i="2"/>
  <c r="O34" i="2" l="1"/>
  <c r="O32" i="2" s="1"/>
  <c r="N16" i="2"/>
  <c r="E30" i="12"/>
  <c r="C31" i="12"/>
  <c r="E31" i="12" s="1"/>
  <c r="AB149" i="2"/>
  <c r="AD140" i="1"/>
  <c r="AD143" i="1"/>
  <c r="AB152" i="2"/>
  <c r="AE145" i="1"/>
  <c r="AC154" i="2"/>
  <c r="X74" i="2"/>
  <c r="W79" i="2"/>
  <c r="W83" i="2" s="1"/>
  <c r="X78" i="2"/>
  <c r="X82" i="2" s="1"/>
  <c r="Y72" i="2"/>
  <c r="O18" i="2" l="1"/>
  <c r="AE143" i="1"/>
  <c r="AC152" i="2"/>
  <c r="AE140" i="1"/>
  <c r="AC149" i="2"/>
  <c r="AF145" i="1"/>
  <c r="AD154" i="2"/>
  <c r="Y78" i="2"/>
  <c r="Y82" i="2" s="1"/>
  <c r="Z72" i="2"/>
  <c r="X79" i="2"/>
  <c r="X83" i="2" s="1"/>
  <c r="Y74" i="2"/>
  <c r="P34" i="2" l="1"/>
  <c r="P32" i="2" s="1"/>
  <c r="O16" i="2"/>
  <c r="AD149" i="2"/>
  <c r="AF140" i="1"/>
  <c r="AG145" i="1"/>
  <c r="AE154" i="2"/>
  <c r="AF143" i="1"/>
  <c r="AD152" i="2"/>
  <c r="Y79" i="2"/>
  <c r="Y83" i="2" s="1"/>
  <c r="Z74" i="2"/>
  <c r="Z78" i="2"/>
  <c r="Z82" i="2" s="1"/>
  <c r="AA72" i="2"/>
  <c r="P18" i="2" l="1"/>
  <c r="AH145" i="1"/>
  <c r="AF154" i="2"/>
  <c r="AG140" i="1"/>
  <c r="AE149" i="2"/>
  <c r="AG143" i="1"/>
  <c r="AE152" i="2"/>
  <c r="AA78" i="2"/>
  <c r="AA82" i="2" s="1"/>
  <c r="AB72" i="2"/>
  <c r="AA74" i="2"/>
  <c r="Z79" i="2"/>
  <c r="Z83" i="2" s="1"/>
  <c r="Q34" i="2" l="1"/>
  <c r="Q32" i="2" s="1"/>
  <c r="P16" i="2"/>
  <c r="AF149" i="2"/>
  <c r="AH140" i="1"/>
  <c r="AH143" i="1"/>
  <c r="AF152" i="2"/>
  <c r="AI145" i="1"/>
  <c r="AH154" i="2" s="1"/>
  <c r="AG154" i="2"/>
  <c r="AB74" i="2"/>
  <c r="AA79" i="2"/>
  <c r="AA83" i="2" s="1"/>
  <c r="AB78" i="2"/>
  <c r="AB82" i="2" s="1"/>
  <c r="AC72" i="2"/>
  <c r="Q18" i="2" l="1"/>
  <c r="AI143" i="1"/>
  <c r="AH152" i="2" s="1"/>
  <c r="AG152" i="2"/>
  <c r="AI140" i="1"/>
  <c r="AH149" i="2" s="1"/>
  <c r="AG149" i="2"/>
  <c r="AD72" i="2"/>
  <c r="AC78" i="2"/>
  <c r="AC82" i="2" s="1"/>
  <c r="AB79" i="2"/>
  <c r="AB83" i="2" s="1"/>
  <c r="AC74" i="2"/>
  <c r="R34" i="2" l="1"/>
  <c r="R32" i="2" s="1"/>
  <c r="Q16" i="2"/>
  <c r="AE72" i="2"/>
  <c r="AD78" i="2"/>
  <c r="AD82" i="2" s="1"/>
  <c r="AC79" i="2"/>
  <c r="AC83" i="2" s="1"/>
  <c r="AD74" i="2"/>
  <c r="R18" i="2" l="1"/>
  <c r="AE74" i="2"/>
  <c r="AD79" i="2"/>
  <c r="AD83" i="2" s="1"/>
  <c r="AE78" i="2"/>
  <c r="AE82" i="2" s="1"/>
  <c r="AF72" i="2"/>
  <c r="S34" i="2" l="1"/>
  <c r="S32" i="2" s="1"/>
  <c r="R16" i="2"/>
  <c r="AF78" i="2"/>
  <c r="AF82" i="2" s="1"/>
  <c r="AG72" i="2"/>
  <c r="AF74" i="2"/>
  <c r="AE79" i="2"/>
  <c r="AE83" i="2" s="1"/>
  <c r="S18" i="2" l="1"/>
  <c r="AG78" i="2"/>
  <c r="AG82" i="2" s="1"/>
  <c r="AH72" i="2"/>
  <c r="AH78" i="2" s="1"/>
  <c r="AH82" i="2" s="1"/>
  <c r="AF79" i="2"/>
  <c r="AF83" i="2" s="1"/>
  <c r="AG74" i="2"/>
  <c r="T34" i="2" l="1"/>
  <c r="T18" i="2" s="1"/>
  <c r="AG79" i="2"/>
  <c r="AG83" i="2" s="1"/>
  <c r="AH74" i="2"/>
  <c r="AH79" i="2" s="1"/>
  <c r="AH83" i="2" s="1"/>
  <c r="U34" i="2" l="1"/>
  <c r="U18" i="2" s="1"/>
  <c r="C37" i="2"/>
  <c r="V34" i="2" l="1"/>
  <c r="V18" i="2" s="1"/>
  <c r="D37" i="2"/>
  <c r="C29" i="2"/>
  <c r="B258" i="2"/>
  <c r="W34" i="2" l="1"/>
  <c r="W18" i="2" s="1"/>
  <c r="E37" i="2"/>
  <c r="D29" i="2"/>
  <c r="B188" i="2"/>
  <c r="B186" i="2"/>
  <c r="B185" i="2"/>
  <c r="B184" i="2"/>
  <c r="B183" i="2"/>
  <c r="B181" i="2"/>
  <c r="B176" i="2"/>
  <c r="B175" i="2"/>
  <c r="B174" i="2"/>
  <c r="B173" i="2"/>
  <c r="B172" i="2"/>
  <c r="B171" i="2"/>
  <c r="B187" i="2"/>
  <c r="X34" i="2" l="1"/>
  <c r="X18" i="2" s="1"/>
  <c r="D39" i="1"/>
  <c r="B169" i="2"/>
  <c r="B170" i="2"/>
  <c r="C182" i="2"/>
  <c r="B182" i="2"/>
  <c r="B189" i="2" s="1"/>
  <c r="F37" i="2"/>
  <c r="E29" i="2"/>
  <c r="E31" i="1"/>
  <c r="C169" i="2" s="1"/>
  <c r="D59" i="1"/>
  <c r="Y34" i="2" l="1"/>
  <c r="Y18" i="2" s="1"/>
  <c r="Z34" i="2" s="1"/>
  <c r="E72" i="1"/>
  <c r="C170" i="2"/>
  <c r="B177" i="2"/>
  <c r="G37" i="2"/>
  <c r="F29" i="2"/>
  <c r="C221" i="1"/>
  <c r="I232" i="1"/>
  <c r="H232" i="1"/>
  <c r="G232" i="1"/>
  <c r="F232" i="1"/>
  <c r="E232" i="1"/>
  <c r="D232" i="1"/>
  <c r="C231" i="1"/>
  <c r="I174" i="1"/>
  <c r="H174" i="1"/>
  <c r="G174" i="1"/>
  <c r="F174" i="1"/>
  <c r="E174" i="1"/>
  <c r="D174" i="1"/>
  <c r="C173" i="1"/>
  <c r="C189" i="1"/>
  <c r="D190" i="1"/>
  <c r="E190" i="1"/>
  <c r="F190" i="1"/>
  <c r="G190" i="1"/>
  <c r="H190" i="1"/>
  <c r="I190" i="1"/>
  <c r="C171" i="2"/>
  <c r="C172" i="2"/>
  <c r="C173" i="2"/>
  <c r="C174" i="2"/>
  <c r="C175" i="2"/>
  <c r="C176" i="2"/>
  <c r="C177" i="2" l="1"/>
  <c r="E130" i="1"/>
  <c r="C194" i="2"/>
  <c r="C218" i="2"/>
  <c r="G32" i="1"/>
  <c r="D170" i="2"/>
  <c r="H37" i="2"/>
  <c r="G29" i="2"/>
  <c r="E39" i="1"/>
  <c r="C232" i="1"/>
  <c r="C174" i="1"/>
  <c r="C190" i="1"/>
  <c r="G72" i="1" l="1"/>
  <c r="H32" i="1"/>
  <c r="E170" i="2"/>
  <c r="I37" i="2"/>
  <c r="H29" i="2"/>
  <c r="D77" i="1"/>
  <c r="D97" i="1"/>
  <c r="D95" i="1"/>
  <c r="D102" i="1"/>
  <c r="D103" i="1"/>
  <c r="D104" i="1"/>
  <c r="D105" i="1"/>
  <c r="D106" i="1"/>
  <c r="D107" i="1"/>
  <c r="D72" i="1"/>
  <c r="D73" i="1"/>
  <c r="D74" i="1"/>
  <c r="D75" i="1"/>
  <c r="D76" i="1"/>
  <c r="D78" i="1"/>
  <c r="E51" i="1"/>
  <c r="F31" i="1"/>
  <c r="D169" i="2" s="1"/>
  <c r="I32" i="1" l="1"/>
  <c r="I72" i="1" s="1"/>
  <c r="H72" i="1"/>
  <c r="D112" i="1"/>
  <c r="D111" i="1"/>
  <c r="D114" i="1"/>
  <c r="D110" i="1"/>
  <c r="D113" i="1"/>
  <c r="D109" i="1"/>
  <c r="C181" i="2"/>
  <c r="D81" i="1"/>
  <c r="D85" i="1"/>
  <c r="D80" i="1"/>
  <c r="D83" i="1"/>
  <c r="D82" i="1"/>
  <c r="D84" i="1"/>
  <c r="D131" i="1"/>
  <c r="B195" i="2"/>
  <c r="B219" i="2"/>
  <c r="G52" i="1"/>
  <c r="G101" i="1" s="1"/>
  <c r="D182" i="2"/>
  <c r="D134" i="1"/>
  <c r="B198" i="2"/>
  <c r="B222" i="2"/>
  <c r="C251" i="2" s="1"/>
  <c r="D251" i="2" s="1"/>
  <c r="E251" i="2" s="1"/>
  <c r="F251" i="2" s="1"/>
  <c r="G251" i="2" s="1"/>
  <c r="H251" i="2" s="1"/>
  <c r="I251" i="2" s="1"/>
  <c r="J251" i="2" s="1"/>
  <c r="K251" i="2" s="1"/>
  <c r="L251" i="2" s="1"/>
  <c r="M251" i="2" s="1"/>
  <c r="N251" i="2" s="1"/>
  <c r="O251" i="2" s="1"/>
  <c r="P251" i="2" s="1"/>
  <c r="Q251" i="2" s="1"/>
  <c r="R251" i="2" s="1"/>
  <c r="S251" i="2" s="1"/>
  <c r="T251" i="2" s="1"/>
  <c r="U251" i="2" s="1"/>
  <c r="V251" i="2" s="1"/>
  <c r="W251" i="2" s="1"/>
  <c r="X251" i="2" s="1"/>
  <c r="Y251" i="2" s="1"/>
  <c r="Z251" i="2" s="1"/>
  <c r="AA251" i="2" s="1"/>
  <c r="AB251" i="2" s="1"/>
  <c r="AC251" i="2" s="1"/>
  <c r="AD251" i="2" s="1"/>
  <c r="AE251" i="2" s="1"/>
  <c r="AF251" i="2" s="1"/>
  <c r="AG251" i="2" s="1"/>
  <c r="D130" i="1"/>
  <c r="B194" i="2"/>
  <c r="B218" i="2"/>
  <c r="D154" i="1"/>
  <c r="B210" i="2"/>
  <c r="B237" i="2"/>
  <c r="D150" i="1"/>
  <c r="B206" i="2"/>
  <c r="B233" i="2"/>
  <c r="D149" i="1"/>
  <c r="D153" i="1"/>
  <c r="B209" i="2"/>
  <c r="B236" i="2"/>
  <c r="D144" i="1"/>
  <c r="C153" i="2" s="1"/>
  <c r="C113" i="2"/>
  <c r="C118" i="2" s="1"/>
  <c r="C122" i="2" s="1"/>
  <c r="D133" i="1"/>
  <c r="B197" i="2"/>
  <c r="B221" i="2"/>
  <c r="D129" i="1"/>
  <c r="D132" i="1"/>
  <c r="B196" i="2"/>
  <c r="B220" i="2"/>
  <c r="D156" i="1"/>
  <c r="B212" i="2"/>
  <c r="B239" i="2"/>
  <c r="D152" i="1"/>
  <c r="B208" i="2"/>
  <c r="B235" i="2"/>
  <c r="D146" i="1"/>
  <c r="C155" i="2" s="1"/>
  <c r="C115" i="2"/>
  <c r="C119" i="2" s="1"/>
  <c r="C123" i="2" s="1"/>
  <c r="D136" i="1"/>
  <c r="B200" i="2"/>
  <c r="B224" i="2"/>
  <c r="D155" i="1"/>
  <c r="B211" i="2"/>
  <c r="B238" i="2"/>
  <c r="D151" i="1"/>
  <c r="B207" i="2"/>
  <c r="B234" i="2"/>
  <c r="D135" i="1"/>
  <c r="B223" i="2"/>
  <c r="B199" i="2"/>
  <c r="F170" i="2"/>
  <c r="J37" i="2"/>
  <c r="I29" i="2"/>
  <c r="I28" i="2" s="1"/>
  <c r="D108" i="1"/>
  <c r="D79" i="1"/>
  <c r="E101" i="1"/>
  <c r="F51" i="1"/>
  <c r="E73" i="1"/>
  <c r="G31" i="1"/>
  <c r="I264" i="1"/>
  <c r="H264" i="1"/>
  <c r="G264" i="1"/>
  <c r="F264" i="1"/>
  <c r="E264" i="1"/>
  <c r="D264" i="1"/>
  <c r="C263" i="1"/>
  <c r="I262" i="1"/>
  <c r="H262" i="1"/>
  <c r="G262" i="1"/>
  <c r="F262" i="1"/>
  <c r="E262" i="1"/>
  <c r="D262" i="1"/>
  <c r="C261" i="1"/>
  <c r="I260" i="1"/>
  <c r="H260" i="1"/>
  <c r="G260" i="1"/>
  <c r="F260" i="1"/>
  <c r="E260" i="1"/>
  <c r="D260" i="1"/>
  <c r="C259" i="1"/>
  <c r="I256" i="1"/>
  <c r="H256" i="1"/>
  <c r="G256" i="1"/>
  <c r="F256" i="1"/>
  <c r="E256" i="1"/>
  <c r="D256" i="1"/>
  <c r="C255" i="1"/>
  <c r="I254" i="1"/>
  <c r="H254" i="1"/>
  <c r="G254" i="1"/>
  <c r="F254" i="1"/>
  <c r="E254" i="1"/>
  <c r="D254" i="1"/>
  <c r="C253" i="1"/>
  <c r="I250" i="1"/>
  <c r="H250" i="1"/>
  <c r="G250" i="1"/>
  <c r="F250" i="1"/>
  <c r="E250" i="1"/>
  <c r="D250" i="1"/>
  <c r="C249" i="1"/>
  <c r="I246" i="1"/>
  <c r="H246" i="1"/>
  <c r="G246" i="1"/>
  <c r="F246" i="1"/>
  <c r="E246" i="1"/>
  <c r="D246" i="1"/>
  <c r="C245" i="1"/>
  <c r="I244" i="1"/>
  <c r="H244" i="1"/>
  <c r="G244" i="1"/>
  <c r="F244" i="1"/>
  <c r="E244" i="1"/>
  <c r="D244" i="1"/>
  <c r="C243" i="1"/>
  <c r="I242" i="1"/>
  <c r="H242" i="1"/>
  <c r="G242" i="1"/>
  <c r="F242" i="1"/>
  <c r="E242" i="1"/>
  <c r="D242" i="1"/>
  <c r="C241" i="1"/>
  <c r="I240" i="1"/>
  <c r="H240" i="1"/>
  <c r="G240" i="1"/>
  <c r="F240" i="1"/>
  <c r="E240" i="1"/>
  <c r="D240" i="1"/>
  <c r="C239" i="1"/>
  <c r="I238" i="1"/>
  <c r="H238" i="1"/>
  <c r="G238" i="1"/>
  <c r="F238" i="1"/>
  <c r="E238" i="1"/>
  <c r="D238" i="1"/>
  <c r="C237" i="1"/>
  <c r="I234" i="1"/>
  <c r="H234" i="1"/>
  <c r="G234" i="1"/>
  <c r="F234" i="1"/>
  <c r="E234" i="1"/>
  <c r="D234" i="1"/>
  <c r="C233" i="1"/>
  <c r="I248" i="1"/>
  <c r="H248" i="1"/>
  <c r="G248" i="1"/>
  <c r="F248" i="1"/>
  <c r="E248" i="1"/>
  <c r="D248" i="1"/>
  <c r="C247" i="1"/>
  <c r="I230" i="1"/>
  <c r="H230" i="1"/>
  <c r="G230" i="1"/>
  <c r="F230" i="1"/>
  <c r="E230" i="1"/>
  <c r="D230" i="1"/>
  <c r="C229" i="1"/>
  <c r="I210" i="1"/>
  <c r="F212" i="1"/>
  <c r="G212" i="1"/>
  <c r="I212" i="1"/>
  <c r="E202" i="1"/>
  <c r="F202" i="1"/>
  <c r="G202" i="1"/>
  <c r="H202" i="1"/>
  <c r="I202" i="1"/>
  <c r="D202" i="1"/>
  <c r="C201" i="1"/>
  <c r="C199" i="1"/>
  <c r="C195" i="1"/>
  <c r="C193" i="1"/>
  <c r="C191" i="1"/>
  <c r="C187" i="1"/>
  <c r="E186" i="1"/>
  <c r="F186" i="1"/>
  <c r="G186" i="1"/>
  <c r="H186" i="1"/>
  <c r="I186" i="1"/>
  <c r="D186" i="1"/>
  <c r="C185" i="1"/>
  <c r="C183" i="1"/>
  <c r="C181" i="1"/>
  <c r="C171" i="1"/>
  <c r="I200" i="1"/>
  <c r="I196" i="1"/>
  <c r="I194" i="1"/>
  <c r="I192" i="1"/>
  <c r="I188" i="1"/>
  <c r="I184" i="1"/>
  <c r="I182" i="1"/>
  <c r="I180" i="1"/>
  <c r="I172" i="1"/>
  <c r="H200" i="1"/>
  <c r="H196" i="1"/>
  <c r="H194" i="1"/>
  <c r="H192" i="1"/>
  <c r="H188" i="1"/>
  <c r="H184" i="1"/>
  <c r="H182" i="1"/>
  <c r="H180" i="1"/>
  <c r="H172" i="1"/>
  <c r="G200" i="1"/>
  <c r="G196" i="1"/>
  <c r="G194" i="1"/>
  <c r="G192" i="1"/>
  <c r="G188" i="1"/>
  <c r="G184" i="1"/>
  <c r="G182" i="1"/>
  <c r="G180" i="1"/>
  <c r="G172" i="1"/>
  <c r="F200" i="1"/>
  <c r="F196" i="1"/>
  <c r="F194" i="1"/>
  <c r="F192" i="1"/>
  <c r="F188" i="1"/>
  <c r="F184" i="1"/>
  <c r="F182" i="1"/>
  <c r="F180" i="1"/>
  <c r="F172" i="1"/>
  <c r="E276" i="1" l="1"/>
  <c r="I276" i="1"/>
  <c r="F276" i="1"/>
  <c r="C275" i="1"/>
  <c r="G276" i="1"/>
  <c r="G279" i="1" s="1"/>
  <c r="D276" i="1"/>
  <c r="H276" i="1"/>
  <c r="H279" i="1" s="1"/>
  <c r="I279" i="1"/>
  <c r="I277" i="1"/>
  <c r="I278" i="1" s="1"/>
  <c r="H284" i="1" s="1"/>
  <c r="H286" i="1" s="1"/>
  <c r="H277" i="1"/>
  <c r="G277" i="1"/>
  <c r="F279" i="1"/>
  <c r="F277" i="1"/>
  <c r="F278" i="1" s="1"/>
  <c r="E284" i="1" s="1"/>
  <c r="E286" i="1" s="1"/>
  <c r="E279" i="1"/>
  <c r="E277" i="1"/>
  <c r="E278" i="1" s="1"/>
  <c r="D284" i="1" s="1"/>
  <c r="D286" i="1" s="1"/>
  <c r="D277" i="1"/>
  <c r="D279" i="1"/>
  <c r="I214" i="1"/>
  <c r="I217" i="1"/>
  <c r="D181" i="2"/>
  <c r="D157" i="1"/>
  <c r="D137" i="1"/>
  <c r="D93" i="1"/>
  <c r="C71" i="2"/>
  <c r="E131" i="1"/>
  <c r="C195" i="2"/>
  <c r="C219" i="2"/>
  <c r="D153" i="2"/>
  <c r="C158" i="2"/>
  <c r="C162" i="2" s="1"/>
  <c r="B213" i="2"/>
  <c r="H52" i="1"/>
  <c r="H101" i="1" s="1"/>
  <c r="E182" i="2"/>
  <c r="H31" i="1"/>
  <c r="E169" i="2"/>
  <c r="G150" i="1"/>
  <c r="E233" i="2"/>
  <c r="E206" i="2"/>
  <c r="C206" i="2"/>
  <c r="C233" i="2"/>
  <c r="J32" i="1"/>
  <c r="J72" i="1" s="1"/>
  <c r="G170" i="2"/>
  <c r="B201" i="2"/>
  <c r="F150" i="1"/>
  <c r="D206" i="2"/>
  <c r="D233" i="2"/>
  <c r="G33" i="1"/>
  <c r="H33" i="1" s="1"/>
  <c r="I33" i="1" s="1"/>
  <c r="D171" i="2"/>
  <c r="D155" i="2"/>
  <c r="C159" i="2"/>
  <c r="C163" i="2" s="1"/>
  <c r="B240" i="2"/>
  <c r="J29" i="2"/>
  <c r="J28" i="2" s="1"/>
  <c r="K37" i="2"/>
  <c r="E150" i="1"/>
  <c r="H223" i="1"/>
  <c r="D223" i="1"/>
  <c r="H210" i="1"/>
  <c r="G223" i="1"/>
  <c r="C211" i="1"/>
  <c r="C213" i="1" s="1"/>
  <c r="G210" i="1"/>
  <c r="G214" i="1" s="1"/>
  <c r="F223" i="1"/>
  <c r="E223" i="1"/>
  <c r="D92" i="1"/>
  <c r="C110" i="2" s="1"/>
  <c r="G51" i="1"/>
  <c r="C264" i="1"/>
  <c r="C262" i="1"/>
  <c r="C260" i="1"/>
  <c r="C256" i="1"/>
  <c r="C254" i="1"/>
  <c r="C250" i="1"/>
  <c r="C246" i="1"/>
  <c r="C244" i="1"/>
  <c r="C242" i="1"/>
  <c r="C240" i="1"/>
  <c r="C238" i="1"/>
  <c r="C234" i="1"/>
  <c r="C276" i="1" s="1"/>
  <c r="C277" i="1" s="1"/>
  <c r="C248" i="1"/>
  <c r="C230" i="1"/>
  <c r="F210" i="1"/>
  <c r="F214" i="1" s="1"/>
  <c r="C186" i="1"/>
  <c r="H212" i="1"/>
  <c r="H278" i="1" l="1"/>
  <c r="G284" i="1" s="1"/>
  <c r="G286" i="1" s="1"/>
  <c r="G278" i="1"/>
  <c r="F284" i="1" s="1"/>
  <c r="F286" i="1" s="1"/>
  <c r="C279" i="1"/>
  <c r="C278" i="1" s="1"/>
  <c r="D278" i="1"/>
  <c r="C284" i="1" s="1"/>
  <c r="H214" i="1"/>
  <c r="H217" i="1"/>
  <c r="F217" i="1"/>
  <c r="G217" i="1"/>
  <c r="H51" i="1"/>
  <c r="E181" i="2"/>
  <c r="E155" i="2"/>
  <c r="D159" i="2"/>
  <c r="D163" i="2" s="1"/>
  <c r="I31" i="1"/>
  <c r="F169" i="2"/>
  <c r="K32" i="1"/>
  <c r="K72" i="1" s="1"/>
  <c r="H170" i="2"/>
  <c r="E153" i="2"/>
  <c r="D158" i="2"/>
  <c r="D162" i="2" s="1"/>
  <c r="I52" i="1"/>
  <c r="I101" i="1" s="1"/>
  <c r="F182" i="2"/>
  <c r="H150" i="1"/>
  <c r="F206" i="2"/>
  <c r="F233" i="2"/>
  <c r="E171" i="2"/>
  <c r="D142" i="1"/>
  <c r="C151" i="2" s="1"/>
  <c r="C111" i="2"/>
  <c r="K29" i="2"/>
  <c r="K28" i="2" s="1"/>
  <c r="L37" i="2"/>
  <c r="I221" i="1"/>
  <c r="D141" i="1"/>
  <c r="C150" i="2" s="1"/>
  <c r="I215" i="1"/>
  <c r="I216" i="1" s="1"/>
  <c r="H222" i="1" s="1"/>
  <c r="H224" i="1" s="1"/>
  <c r="C223" i="1"/>
  <c r="I223" i="1" s="1"/>
  <c r="I284" i="1" l="1"/>
  <c r="C286" i="1"/>
  <c r="I286" i="1" s="1"/>
  <c r="G215" i="1"/>
  <c r="G216" i="1" s="1"/>
  <c r="F222" i="1" s="1"/>
  <c r="F224" i="1" s="1"/>
  <c r="F215" i="1"/>
  <c r="F216" i="1" s="1"/>
  <c r="E222" i="1" s="1"/>
  <c r="E224" i="1" s="1"/>
  <c r="L32" i="1"/>
  <c r="L72" i="1" s="1"/>
  <c r="I170" i="2"/>
  <c r="D150" i="2"/>
  <c r="C157" i="2"/>
  <c r="J52" i="1"/>
  <c r="J101" i="1" s="1"/>
  <c r="G182" i="2"/>
  <c r="F153" i="2"/>
  <c r="E158" i="2"/>
  <c r="E162" i="2" s="1"/>
  <c r="F155" i="2"/>
  <c r="E159" i="2"/>
  <c r="E163" i="2" s="1"/>
  <c r="I150" i="1"/>
  <c r="G206" i="2"/>
  <c r="G233" i="2"/>
  <c r="J31" i="1"/>
  <c r="G169" i="2"/>
  <c r="F171" i="2"/>
  <c r="I51" i="1"/>
  <c r="F181" i="2"/>
  <c r="L29" i="2"/>
  <c r="L28" i="2" s="1"/>
  <c r="M37" i="2"/>
  <c r="H215" i="1"/>
  <c r="H216" i="1" s="1"/>
  <c r="G222" i="1" s="1"/>
  <c r="G224" i="1" s="1"/>
  <c r="F12" i="5" l="1"/>
  <c r="E52" i="5"/>
  <c r="H38" i="4" s="1"/>
  <c r="D52" i="5"/>
  <c r="G38" i="4" s="1"/>
  <c r="E12" i="5"/>
  <c r="G12" i="5"/>
  <c r="F52" i="5"/>
  <c r="I38" i="4" s="1"/>
  <c r="G52" i="5"/>
  <c r="J38" i="4" s="1"/>
  <c r="H12" i="5"/>
  <c r="F42" i="5"/>
  <c r="G11" i="5"/>
  <c r="E42" i="5"/>
  <c r="F11" i="5"/>
  <c r="D42" i="5"/>
  <c r="E11" i="5"/>
  <c r="J150" i="1"/>
  <c r="H206" i="2"/>
  <c r="H233" i="2"/>
  <c r="J51" i="1"/>
  <c r="G181" i="2"/>
  <c r="G155" i="2"/>
  <c r="F159" i="2"/>
  <c r="F163" i="2" s="1"/>
  <c r="G153" i="2"/>
  <c r="F158" i="2"/>
  <c r="F162" i="2" s="1"/>
  <c r="C161" i="2"/>
  <c r="C160" i="2" s="1"/>
  <c r="C156" i="2"/>
  <c r="K31" i="1"/>
  <c r="H169" i="2"/>
  <c r="E150" i="2"/>
  <c r="J33" i="1"/>
  <c r="G171" i="2"/>
  <c r="K52" i="1"/>
  <c r="K101" i="1" s="1"/>
  <c r="H182" i="2"/>
  <c r="M32" i="1"/>
  <c r="M72" i="1" s="1"/>
  <c r="J170" i="2"/>
  <c r="M29" i="2"/>
  <c r="M28" i="2" s="1"/>
  <c r="N37" i="2"/>
  <c r="G42" i="5" l="1"/>
  <c r="H11" i="5"/>
  <c r="K33" i="1"/>
  <c r="H171" i="2"/>
  <c r="L31" i="1"/>
  <c r="I169" i="2"/>
  <c r="K51" i="1"/>
  <c r="H181" i="2"/>
  <c r="L52" i="1"/>
  <c r="L101" i="1" s="1"/>
  <c r="I182" i="2"/>
  <c r="H155" i="2"/>
  <c r="G159" i="2"/>
  <c r="G163" i="2" s="1"/>
  <c r="F150" i="2"/>
  <c r="N32" i="1"/>
  <c r="N72" i="1" s="1"/>
  <c r="K170" i="2"/>
  <c r="H153" i="2"/>
  <c r="G158" i="2"/>
  <c r="G162" i="2" s="1"/>
  <c r="K150" i="1"/>
  <c r="I233" i="2"/>
  <c r="I206" i="2"/>
  <c r="N29" i="2"/>
  <c r="N28" i="2" s="1"/>
  <c r="O37" i="2"/>
  <c r="D42" i="1"/>
  <c r="C69" i="2" s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E58" i="1"/>
  <c r="F58" i="1" s="1"/>
  <c r="E57" i="1"/>
  <c r="F57" i="1" s="1"/>
  <c r="E56" i="1"/>
  <c r="F56" i="1" s="1"/>
  <c r="E55" i="1"/>
  <c r="F55" i="1" s="1"/>
  <c r="F104" i="1" s="1"/>
  <c r="E54" i="1"/>
  <c r="F54" i="1" s="1"/>
  <c r="E53" i="1"/>
  <c r="E48" i="1"/>
  <c r="E47" i="1"/>
  <c r="E96" i="1" s="1"/>
  <c r="D114" i="2" s="1"/>
  <c r="E46" i="1"/>
  <c r="E45" i="1"/>
  <c r="E94" i="1" s="1"/>
  <c r="D112" i="2" s="1"/>
  <c r="C48" i="2"/>
  <c r="D21" i="1"/>
  <c r="C183" i="2" l="1"/>
  <c r="F53" i="1"/>
  <c r="I9" i="2"/>
  <c r="E106" i="1"/>
  <c r="C187" i="2"/>
  <c r="I155" i="2"/>
  <c r="H159" i="2"/>
  <c r="H163" i="2" s="1"/>
  <c r="L51" i="1"/>
  <c r="I181" i="2"/>
  <c r="L33" i="1"/>
  <c r="I171" i="2"/>
  <c r="E103" i="1"/>
  <c r="C184" i="2"/>
  <c r="E107" i="1"/>
  <c r="C188" i="2"/>
  <c r="G150" i="2"/>
  <c r="O32" i="1"/>
  <c r="O72" i="1" s="1"/>
  <c r="L170" i="2"/>
  <c r="M52" i="1"/>
  <c r="M101" i="1" s="1"/>
  <c r="J182" i="2"/>
  <c r="M31" i="1"/>
  <c r="J169" i="2"/>
  <c r="E104" i="1"/>
  <c r="C185" i="2"/>
  <c r="E105" i="1"/>
  <c r="C186" i="2"/>
  <c r="D69" i="2"/>
  <c r="C77" i="2"/>
  <c r="L150" i="1"/>
  <c r="J206" i="2"/>
  <c r="J233" i="2"/>
  <c r="I153" i="2"/>
  <c r="H158" i="2"/>
  <c r="H162" i="2" s="1"/>
  <c r="O29" i="2"/>
  <c r="O28" i="2" s="1"/>
  <c r="P37" i="2"/>
  <c r="D91" i="1"/>
  <c r="D165" i="1"/>
  <c r="E59" i="1"/>
  <c r="F48" i="1"/>
  <c r="E97" i="1"/>
  <c r="F46" i="1"/>
  <c r="E95" i="1"/>
  <c r="E92" i="1"/>
  <c r="D110" i="2" s="1"/>
  <c r="F47" i="1"/>
  <c r="F96" i="1" s="1"/>
  <c r="E114" i="2" s="1"/>
  <c r="E102" i="1"/>
  <c r="D185" i="2"/>
  <c r="D184" i="2"/>
  <c r="D188" i="2"/>
  <c r="D186" i="2"/>
  <c r="D187" i="2"/>
  <c r="E42" i="1"/>
  <c r="F45" i="1"/>
  <c r="F94" i="1" s="1"/>
  <c r="E112" i="2" s="1"/>
  <c r="E18" i="1"/>
  <c r="F18" i="1" s="1"/>
  <c r="E15" i="1"/>
  <c r="F15" i="1" s="1"/>
  <c r="D25" i="2" l="1"/>
  <c r="H25" i="2"/>
  <c r="E25" i="2"/>
  <c r="F25" i="2"/>
  <c r="I25" i="2"/>
  <c r="C25" i="2"/>
  <c r="G25" i="2"/>
  <c r="J25" i="2"/>
  <c r="J9" i="2" s="1"/>
  <c r="K25" i="2" s="1"/>
  <c r="E91" i="1"/>
  <c r="D109" i="2" s="1"/>
  <c r="AD295" i="1"/>
  <c r="AD294" i="1" s="1"/>
  <c r="T295" i="1"/>
  <c r="Y295" i="1"/>
  <c r="Y294" i="1" s="1"/>
  <c r="C189" i="2"/>
  <c r="D166" i="1"/>
  <c r="C109" i="2"/>
  <c r="C117" i="2" s="1"/>
  <c r="E155" i="1"/>
  <c r="C211" i="2"/>
  <c r="C238" i="2"/>
  <c r="C207" i="2"/>
  <c r="C234" i="2"/>
  <c r="E146" i="1"/>
  <c r="D115" i="2"/>
  <c r="D119" i="2" s="1"/>
  <c r="D123" i="2" s="1"/>
  <c r="E69" i="2"/>
  <c r="E153" i="1"/>
  <c r="C209" i="2"/>
  <c r="C236" i="2"/>
  <c r="N52" i="1"/>
  <c r="N101" i="1" s="1"/>
  <c r="K182" i="2"/>
  <c r="E156" i="1"/>
  <c r="C212" i="2"/>
  <c r="C239" i="2"/>
  <c r="G53" i="1"/>
  <c r="D183" i="2"/>
  <c r="D189" i="2" s="1"/>
  <c r="J155" i="2"/>
  <c r="I159" i="2"/>
  <c r="I163" i="2" s="1"/>
  <c r="M150" i="1"/>
  <c r="K206" i="2"/>
  <c r="K233" i="2"/>
  <c r="E144" i="1"/>
  <c r="D113" i="2"/>
  <c r="D118" i="2" s="1"/>
  <c r="D122" i="2" s="1"/>
  <c r="J153" i="2"/>
  <c r="I158" i="2"/>
  <c r="I162" i="2" s="1"/>
  <c r="E154" i="1"/>
  <c r="C210" i="2"/>
  <c r="C237" i="2"/>
  <c r="N31" i="1"/>
  <c r="K169" i="2"/>
  <c r="P32" i="1"/>
  <c r="P72" i="1" s="1"/>
  <c r="M170" i="2"/>
  <c r="E152" i="1"/>
  <c r="C208" i="2"/>
  <c r="C235" i="2"/>
  <c r="M33" i="1"/>
  <c r="J171" i="2"/>
  <c r="C81" i="2"/>
  <c r="C80" i="2" s="1"/>
  <c r="F109" i="1" s="1"/>
  <c r="C76" i="2"/>
  <c r="H150" i="2"/>
  <c r="M51" i="1"/>
  <c r="J181" i="2"/>
  <c r="P29" i="2"/>
  <c r="P28" i="2" s="1"/>
  <c r="Q37" i="2"/>
  <c r="E151" i="1"/>
  <c r="E141" i="1"/>
  <c r="G57" i="1"/>
  <c r="G55" i="1"/>
  <c r="G104" i="1" s="1"/>
  <c r="G47" i="1"/>
  <c r="G96" i="1" s="1"/>
  <c r="F114" i="2" s="1"/>
  <c r="G46" i="1"/>
  <c r="F95" i="1"/>
  <c r="G56" i="1"/>
  <c r="G58" i="1"/>
  <c r="F92" i="1"/>
  <c r="E110" i="2" s="1"/>
  <c r="G48" i="1"/>
  <c r="F97" i="1"/>
  <c r="G54" i="1"/>
  <c r="F42" i="1"/>
  <c r="F91" i="1" s="1"/>
  <c r="E109" i="2" s="1"/>
  <c r="G45" i="1"/>
  <c r="G94" i="1" s="1"/>
  <c r="F112" i="2" s="1"/>
  <c r="G18" i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M4" i="1"/>
  <c r="L4" i="1" s="1"/>
  <c r="K4" i="1" s="1"/>
  <c r="J4" i="1" s="1"/>
  <c r="I4" i="1" s="1"/>
  <c r="H4" i="1" s="1"/>
  <c r="G4" i="1" s="1"/>
  <c r="F4" i="1" s="1"/>
  <c r="E4" i="1" s="1"/>
  <c r="E183" i="2" l="1"/>
  <c r="B252" i="2"/>
  <c r="F114" i="1"/>
  <c r="F113" i="1"/>
  <c r="F111" i="1"/>
  <c r="F110" i="1"/>
  <c r="F112" i="1"/>
  <c r="H53" i="1"/>
  <c r="AF33" i="2"/>
  <c r="AG33" i="2"/>
  <c r="Z33" i="2"/>
  <c r="AC33" i="2"/>
  <c r="AA33" i="2"/>
  <c r="AB33" i="2"/>
  <c r="Y33" i="2"/>
  <c r="U33" i="2"/>
  <c r="V33" i="2"/>
  <c r="X33" i="2"/>
  <c r="T294" i="1"/>
  <c r="T33" i="2"/>
  <c r="AE33" i="2"/>
  <c r="AD33" i="2"/>
  <c r="S17" i="2"/>
  <c r="S16" i="2" s="1"/>
  <c r="W33" i="2"/>
  <c r="F146" i="1"/>
  <c r="E115" i="2"/>
  <c r="E119" i="2" s="1"/>
  <c r="E123" i="2" s="1"/>
  <c r="O31" i="1"/>
  <c r="L169" i="2"/>
  <c r="H58" i="1"/>
  <c r="E188" i="2"/>
  <c r="N33" i="1"/>
  <c r="K171" i="2"/>
  <c r="H57" i="1"/>
  <c r="E187" i="2"/>
  <c r="K153" i="2"/>
  <c r="J158" i="2"/>
  <c r="J162" i="2" s="1"/>
  <c r="O52" i="1"/>
  <c r="O101" i="1" s="1"/>
  <c r="L182" i="2"/>
  <c r="C121" i="2"/>
  <c r="C116" i="2"/>
  <c r="I150" i="2"/>
  <c r="Q32" i="1"/>
  <c r="Q72" i="1" s="1"/>
  <c r="N170" i="2"/>
  <c r="F69" i="2"/>
  <c r="N150" i="1"/>
  <c r="L206" i="2"/>
  <c r="L233" i="2"/>
  <c r="F144" i="1"/>
  <c r="E113" i="2"/>
  <c r="E118" i="2" s="1"/>
  <c r="E122" i="2" s="1"/>
  <c r="F153" i="1"/>
  <c r="D209" i="2"/>
  <c r="D236" i="2"/>
  <c r="N51" i="1"/>
  <c r="K181" i="2"/>
  <c r="H54" i="1"/>
  <c r="E184" i="2"/>
  <c r="H56" i="1"/>
  <c r="E186" i="2"/>
  <c r="H55" i="1"/>
  <c r="H104" i="1" s="1"/>
  <c r="E185" i="2"/>
  <c r="K155" i="2"/>
  <c r="J159" i="2"/>
  <c r="J163" i="2" s="1"/>
  <c r="Q29" i="2"/>
  <c r="Q28" i="2" s="1"/>
  <c r="R37" i="2"/>
  <c r="F141" i="1"/>
  <c r="H48" i="1"/>
  <c r="G97" i="1"/>
  <c r="H47" i="1"/>
  <c r="H96" i="1" s="1"/>
  <c r="G114" i="2" s="1"/>
  <c r="G92" i="1"/>
  <c r="F110" i="2" s="1"/>
  <c r="H46" i="1"/>
  <c r="G95" i="1"/>
  <c r="G42" i="1"/>
  <c r="G91" i="1" s="1"/>
  <c r="F109" i="2" s="1"/>
  <c r="H45" i="1"/>
  <c r="H94" i="1" s="1"/>
  <c r="G112" i="2" s="1"/>
  <c r="E17" i="1"/>
  <c r="E16" i="1"/>
  <c r="F16" i="1" s="1"/>
  <c r="E12" i="10" l="1"/>
  <c r="C120" i="2"/>
  <c r="E7" i="10"/>
  <c r="F183" i="2"/>
  <c r="F115" i="1"/>
  <c r="I53" i="1"/>
  <c r="K9" i="2"/>
  <c r="L25" i="2" s="1"/>
  <c r="E189" i="2"/>
  <c r="H153" i="1"/>
  <c r="F209" i="2"/>
  <c r="F236" i="2"/>
  <c r="G146" i="1"/>
  <c r="F115" i="2"/>
  <c r="F119" i="2" s="1"/>
  <c r="F123" i="2" s="1"/>
  <c r="R32" i="1"/>
  <c r="R72" i="1" s="1"/>
  <c r="O170" i="2"/>
  <c r="L153" i="2"/>
  <c r="K158" i="2"/>
  <c r="K162" i="2" s="1"/>
  <c r="G153" i="1"/>
  <c r="E209" i="2"/>
  <c r="E236" i="2"/>
  <c r="I54" i="1"/>
  <c r="F184" i="2"/>
  <c r="O33" i="1"/>
  <c r="L171" i="2"/>
  <c r="I58" i="1"/>
  <c r="F188" i="2"/>
  <c r="O150" i="1"/>
  <c r="M233" i="2"/>
  <c r="M206" i="2"/>
  <c r="G144" i="1"/>
  <c r="F113" i="2"/>
  <c r="F118" i="2" s="1"/>
  <c r="F122" i="2" s="1"/>
  <c r="G69" i="2"/>
  <c r="J150" i="2"/>
  <c r="P52" i="1"/>
  <c r="P101" i="1" s="1"/>
  <c r="M182" i="2"/>
  <c r="I57" i="1"/>
  <c r="F187" i="2"/>
  <c r="L155" i="2"/>
  <c r="K159" i="2"/>
  <c r="K163" i="2" s="1"/>
  <c r="I55" i="1"/>
  <c r="I104" i="1" s="1"/>
  <c r="F185" i="2"/>
  <c r="I56" i="1"/>
  <c r="F186" i="2"/>
  <c r="O51" i="1"/>
  <c r="L181" i="2"/>
  <c r="P31" i="1"/>
  <c r="M169" i="2"/>
  <c r="R29" i="2"/>
  <c r="R28" i="2" s="1"/>
  <c r="S37" i="2"/>
  <c r="G141" i="1"/>
  <c r="H92" i="1"/>
  <c r="G110" i="2" s="1"/>
  <c r="I47" i="1"/>
  <c r="I96" i="1" s="1"/>
  <c r="H114" i="2" s="1"/>
  <c r="I48" i="1"/>
  <c r="H97" i="1"/>
  <c r="I46" i="1"/>
  <c r="H95" i="1"/>
  <c r="H42" i="1"/>
  <c r="H91" i="1" s="1"/>
  <c r="G109" i="2" s="1"/>
  <c r="I45" i="1"/>
  <c r="I94" i="1" s="1"/>
  <c r="H112" i="2" s="1"/>
  <c r="F17" i="1"/>
  <c r="F44" i="1" s="1"/>
  <c r="E71" i="2" s="1"/>
  <c r="E77" i="2" s="1"/>
  <c r="E44" i="1"/>
  <c r="D71" i="2" s="1"/>
  <c r="D77" i="2" s="1"/>
  <c r="G16" i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61" i="6"/>
  <c r="A61" i="6"/>
  <c r="E51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E30" i="6"/>
  <c r="D30" i="6"/>
  <c r="C30" i="6"/>
  <c r="B30" i="6"/>
  <c r="E20" i="6"/>
  <c r="A20" i="6"/>
  <c r="E10" i="6"/>
  <c r="H73" i="5"/>
  <c r="I73" i="5" s="1"/>
  <c r="J73" i="5" s="1"/>
  <c r="K73" i="5" s="1"/>
  <c r="L73" i="5" s="1"/>
  <c r="M73" i="5" s="1"/>
  <c r="N73" i="5" s="1"/>
  <c r="O73" i="5" s="1"/>
  <c r="P73" i="5" s="1"/>
  <c r="Q73" i="5" s="1"/>
  <c r="R73" i="5" s="1"/>
  <c r="S73" i="5" s="1"/>
  <c r="T73" i="5" s="1"/>
  <c r="U73" i="5" s="1"/>
  <c r="V73" i="5" s="1"/>
  <c r="W73" i="5" s="1"/>
  <c r="X73" i="5" s="1"/>
  <c r="Y73" i="5" s="1"/>
  <c r="Z73" i="5" s="1"/>
  <c r="AA73" i="5" s="1"/>
  <c r="AB73" i="5" s="1"/>
  <c r="AC73" i="5" s="1"/>
  <c r="AD73" i="5" s="1"/>
  <c r="AE73" i="5" s="1"/>
  <c r="AF73" i="5" s="1"/>
  <c r="A72" i="5"/>
  <c r="A88" i="5" s="1"/>
  <c r="C56" i="5"/>
  <c r="C70" i="5" s="1"/>
  <c r="B39" i="5"/>
  <c r="B45" i="5" s="1"/>
  <c r="B49" i="5" s="1"/>
  <c r="C35" i="5"/>
  <c r="C17" i="5"/>
  <c r="C16" i="5"/>
  <c r="E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D4" i="5"/>
  <c r="D56" i="5" s="1"/>
  <c r="E42" i="4"/>
  <c r="F42" i="4" s="1"/>
  <c r="C39" i="4"/>
  <c r="C20" i="4"/>
  <c r="C23" i="4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E13" i="4"/>
  <c r="F13" i="4" s="1"/>
  <c r="G13" i="4" s="1"/>
  <c r="H13" i="4" s="1"/>
  <c r="I13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D4" i="4"/>
  <c r="D20" i="4" s="1"/>
  <c r="C28" i="3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C25" i="3"/>
  <c r="D25" i="3" s="1"/>
  <c r="E25" i="3" s="1"/>
  <c r="A21" i="3"/>
  <c r="A20" i="3"/>
  <c r="C18" i="3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C16" i="3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C8" i="3"/>
  <c r="D8" i="3" s="1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C279" i="2"/>
  <c r="D279" i="2" s="1"/>
  <c r="E279" i="2" s="1"/>
  <c r="F279" i="2" s="1"/>
  <c r="G279" i="2" s="1"/>
  <c r="H279" i="2" s="1"/>
  <c r="I279" i="2" s="1"/>
  <c r="J279" i="2" s="1"/>
  <c r="K279" i="2" s="1"/>
  <c r="L279" i="2" s="1"/>
  <c r="M279" i="2" s="1"/>
  <c r="N279" i="2" s="1"/>
  <c r="O279" i="2" s="1"/>
  <c r="P279" i="2" s="1"/>
  <c r="Q279" i="2" s="1"/>
  <c r="R279" i="2" s="1"/>
  <c r="S279" i="2" s="1"/>
  <c r="T279" i="2" s="1"/>
  <c r="U279" i="2" s="1"/>
  <c r="V279" i="2" s="1"/>
  <c r="W279" i="2" s="1"/>
  <c r="X279" i="2" s="1"/>
  <c r="Y279" i="2" s="1"/>
  <c r="Z279" i="2" s="1"/>
  <c r="AA279" i="2" s="1"/>
  <c r="AB279" i="2" s="1"/>
  <c r="AC279" i="2" s="1"/>
  <c r="AD279" i="2" s="1"/>
  <c r="AE279" i="2" s="1"/>
  <c r="AF279" i="2" s="1"/>
  <c r="AG279" i="2" s="1"/>
  <c r="A100" i="2"/>
  <c r="A140" i="2" s="1"/>
  <c r="A96" i="2"/>
  <c r="A136" i="2" s="1"/>
  <c r="C88" i="2"/>
  <c r="C128" i="2" s="1"/>
  <c r="D128" i="2" s="1"/>
  <c r="E128" i="2" s="1"/>
  <c r="F128" i="2" s="1"/>
  <c r="G128" i="2" s="1"/>
  <c r="H128" i="2" s="1"/>
  <c r="I128" i="2" s="1"/>
  <c r="J128" i="2" s="1"/>
  <c r="K128" i="2" s="1"/>
  <c r="L128" i="2" s="1"/>
  <c r="M128" i="2" s="1"/>
  <c r="N128" i="2" s="1"/>
  <c r="O128" i="2" s="1"/>
  <c r="P128" i="2" s="1"/>
  <c r="Q128" i="2" s="1"/>
  <c r="R128" i="2" s="1"/>
  <c r="S128" i="2" s="1"/>
  <c r="T128" i="2" s="1"/>
  <c r="U128" i="2" s="1"/>
  <c r="V128" i="2" s="1"/>
  <c r="W128" i="2" s="1"/>
  <c r="X128" i="2" s="1"/>
  <c r="Y128" i="2" s="1"/>
  <c r="Z128" i="2" s="1"/>
  <c r="AA128" i="2" s="1"/>
  <c r="AB128" i="2" s="1"/>
  <c r="AC128" i="2" s="1"/>
  <c r="AD128" i="2" s="1"/>
  <c r="AE128" i="2" s="1"/>
  <c r="AF128" i="2" s="1"/>
  <c r="AG128" i="2" s="1"/>
  <c r="AH128" i="2" s="1"/>
  <c r="C54" i="2"/>
  <c r="C52" i="2"/>
  <c r="C50" i="2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E21" i="3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B10" i="3"/>
  <c r="D326" i="1"/>
  <c r="E326" i="1" s="1"/>
  <c r="F326" i="1" s="1"/>
  <c r="G326" i="1" s="1"/>
  <c r="H326" i="1" s="1"/>
  <c r="I326" i="1" s="1"/>
  <c r="J326" i="1" s="1"/>
  <c r="K326" i="1" s="1"/>
  <c r="L326" i="1" s="1"/>
  <c r="M326" i="1" s="1"/>
  <c r="N326" i="1" s="1"/>
  <c r="O326" i="1" s="1"/>
  <c r="P326" i="1" s="1"/>
  <c r="Q326" i="1" s="1"/>
  <c r="R326" i="1" s="1"/>
  <c r="S326" i="1" s="1"/>
  <c r="T326" i="1" s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C317" i="1"/>
  <c r="C316" i="1"/>
  <c r="E315" i="1"/>
  <c r="F315" i="1" s="1"/>
  <c r="G315" i="1" s="1"/>
  <c r="H315" i="1" s="1"/>
  <c r="C315" i="1"/>
  <c r="C310" i="1"/>
  <c r="D301" i="1"/>
  <c r="D310" i="1" s="1"/>
  <c r="J289" i="1"/>
  <c r="K289" i="1" s="1"/>
  <c r="L289" i="1" s="1"/>
  <c r="M289" i="1" s="1"/>
  <c r="N289" i="1" s="1"/>
  <c r="O289" i="1" s="1"/>
  <c r="P289" i="1" s="1"/>
  <c r="Q289" i="1" s="1"/>
  <c r="R289" i="1" s="1"/>
  <c r="S289" i="1" s="1"/>
  <c r="T289" i="1" s="1"/>
  <c r="U289" i="1" s="1"/>
  <c r="V289" i="1" s="1"/>
  <c r="W289" i="1" s="1"/>
  <c r="X289" i="1" s="1"/>
  <c r="Y289" i="1" s="1"/>
  <c r="Z289" i="1" s="1"/>
  <c r="AA289" i="1" s="1"/>
  <c r="AB289" i="1" s="1"/>
  <c r="AC289" i="1" s="1"/>
  <c r="AD289" i="1" s="1"/>
  <c r="AE289" i="1" s="1"/>
  <c r="AF289" i="1" s="1"/>
  <c r="AG289" i="1" s="1"/>
  <c r="AH289" i="1" s="1"/>
  <c r="D220" i="1"/>
  <c r="E220" i="1" s="1"/>
  <c r="F220" i="1" s="1"/>
  <c r="G220" i="1" s="1"/>
  <c r="H220" i="1" s="1"/>
  <c r="D212" i="1"/>
  <c r="E210" i="1"/>
  <c r="D210" i="1"/>
  <c r="E200" i="1"/>
  <c r="D200" i="1"/>
  <c r="E196" i="1"/>
  <c r="D196" i="1"/>
  <c r="E194" i="1"/>
  <c r="D194" i="1"/>
  <c r="E192" i="1"/>
  <c r="D192" i="1"/>
  <c r="E188" i="1"/>
  <c r="D188" i="1"/>
  <c r="E184" i="1"/>
  <c r="D184" i="1"/>
  <c r="E182" i="1"/>
  <c r="D182" i="1"/>
  <c r="E180" i="1"/>
  <c r="D180" i="1"/>
  <c r="E172" i="1"/>
  <c r="D172" i="1"/>
  <c r="B70" i="1"/>
  <c r="B128" i="1" s="1"/>
  <c r="D61" i="1"/>
  <c r="E77" i="1"/>
  <c r="E76" i="1"/>
  <c r="E28" i="1"/>
  <c r="D135" i="2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D22" i="1"/>
  <c r="E21" i="1"/>
  <c r="E61" i="1" s="1"/>
  <c r="E14" i="1"/>
  <c r="F14" i="1" s="1"/>
  <c r="E13" i="1"/>
  <c r="F13" i="1" s="1"/>
  <c r="G13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Q7" i="1"/>
  <c r="O4" i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D214" i="1" l="1"/>
  <c r="D217" i="1" s="1"/>
  <c r="J13" i="4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G183" i="2"/>
  <c r="L9" i="2"/>
  <c r="M25" i="2" s="1"/>
  <c r="B253" i="2"/>
  <c r="C125" i="2"/>
  <c r="C126" i="2"/>
  <c r="C124" i="2"/>
  <c r="F4" i="8"/>
  <c r="F70" i="8" s="1"/>
  <c r="F75" i="8" s="1"/>
  <c r="J53" i="1"/>
  <c r="K53" i="1" s="1"/>
  <c r="D160" i="1"/>
  <c r="D62" i="1"/>
  <c r="C39" i="5"/>
  <c r="C45" i="5" s="1"/>
  <c r="C49" i="5" s="1"/>
  <c r="D35" i="5"/>
  <c r="E4" i="5"/>
  <c r="E56" i="5" s="1"/>
  <c r="E4" i="4"/>
  <c r="E20" i="4" s="1"/>
  <c r="F189" i="2"/>
  <c r="E130" i="2"/>
  <c r="D130" i="2"/>
  <c r="E81" i="2"/>
  <c r="E80" i="2" s="1"/>
  <c r="D252" i="2" s="1"/>
  <c r="E76" i="2"/>
  <c r="H146" i="1"/>
  <c r="G115" i="2"/>
  <c r="G119" i="2" s="1"/>
  <c r="G123" i="2" s="1"/>
  <c r="M155" i="2"/>
  <c r="L159" i="2"/>
  <c r="L163" i="2" s="1"/>
  <c r="E134" i="1"/>
  <c r="C198" i="2"/>
  <c r="C222" i="2"/>
  <c r="P150" i="1"/>
  <c r="N206" i="2"/>
  <c r="N233" i="2"/>
  <c r="Q31" i="1"/>
  <c r="N169" i="2"/>
  <c r="P51" i="1"/>
  <c r="M181" i="2"/>
  <c r="J57" i="1"/>
  <c r="G187" i="2"/>
  <c r="K150" i="2"/>
  <c r="P33" i="1"/>
  <c r="M171" i="2"/>
  <c r="J54" i="1"/>
  <c r="G184" i="2"/>
  <c r="S32" i="1"/>
  <c r="S72" i="1" s="1"/>
  <c r="P170" i="2"/>
  <c r="E135" i="1"/>
  <c r="C199" i="2"/>
  <c r="C223" i="2"/>
  <c r="H144" i="1"/>
  <c r="G113" i="2"/>
  <c r="G118" i="2" s="1"/>
  <c r="G122" i="2" s="1"/>
  <c r="J55" i="1"/>
  <c r="J104" i="1" s="1"/>
  <c r="G185" i="2"/>
  <c r="H69" i="2"/>
  <c r="D81" i="2"/>
  <c r="D80" i="2" s="1"/>
  <c r="C252" i="2" s="1"/>
  <c r="D76" i="2"/>
  <c r="I153" i="1"/>
  <c r="G209" i="2"/>
  <c r="G236" i="2"/>
  <c r="J56" i="1"/>
  <c r="G186" i="2"/>
  <c r="Q52" i="1"/>
  <c r="Q101" i="1" s="1"/>
  <c r="N182" i="2"/>
  <c r="J58" i="1"/>
  <c r="G188" i="2"/>
  <c r="M153" i="2"/>
  <c r="L158" i="2"/>
  <c r="L162" i="2" s="1"/>
  <c r="D52" i="2"/>
  <c r="E52" i="2" s="1"/>
  <c r="F52" i="2" s="1"/>
  <c r="G52" i="2" s="1"/>
  <c r="D54" i="2"/>
  <c r="E54" i="2" s="1"/>
  <c r="S29" i="2"/>
  <c r="S28" i="2" s="1"/>
  <c r="T37" i="2"/>
  <c r="U37" i="2" s="1"/>
  <c r="V37" i="2" s="1"/>
  <c r="W37" i="2" s="1"/>
  <c r="X37" i="2" s="1"/>
  <c r="Y37" i="2" s="1"/>
  <c r="Z37" i="2" s="1"/>
  <c r="AA37" i="2" s="1"/>
  <c r="E90" i="1"/>
  <c r="E119" i="1"/>
  <c r="E139" i="1" s="1"/>
  <c r="E159" i="1" s="1"/>
  <c r="E164" i="1" s="1"/>
  <c r="D90" i="1"/>
  <c r="D119" i="1"/>
  <c r="D139" i="1" s="1"/>
  <c r="D159" i="1" s="1"/>
  <c r="D164" i="1" s="1"/>
  <c r="D50" i="2"/>
  <c r="E50" i="2" s="1"/>
  <c r="F50" i="2" s="1"/>
  <c r="G50" i="2" s="1"/>
  <c r="H141" i="1"/>
  <c r="D121" i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AB121" i="1" s="1"/>
  <c r="AC121" i="1" s="1"/>
  <c r="AD121" i="1" s="1"/>
  <c r="AE121" i="1" s="1"/>
  <c r="AF121" i="1" s="1"/>
  <c r="AG121" i="1" s="1"/>
  <c r="AH121" i="1" s="1"/>
  <c r="AI121" i="1" s="1"/>
  <c r="E93" i="1"/>
  <c r="E165" i="1"/>
  <c r="J46" i="1"/>
  <c r="I95" i="1"/>
  <c r="J47" i="1"/>
  <c r="J96" i="1" s="1"/>
  <c r="I114" i="2" s="1"/>
  <c r="F93" i="1"/>
  <c r="E111" i="2" s="1"/>
  <c r="F165" i="1"/>
  <c r="J48" i="1"/>
  <c r="I97" i="1"/>
  <c r="I92" i="1"/>
  <c r="H110" i="2" s="1"/>
  <c r="E74" i="1"/>
  <c r="E78" i="1"/>
  <c r="D173" i="2"/>
  <c r="E75" i="1"/>
  <c r="R7" i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E21" i="3"/>
  <c r="C194" i="1"/>
  <c r="C196" i="1"/>
  <c r="C200" i="1"/>
  <c r="C202" i="1"/>
  <c r="C172" i="1"/>
  <c r="C188" i="1"/>
  <c r="C180" i="1"/>
  <c r="C184" i="1"/>
  <c r="C210" i="1"/>
  <c r="I42" i="1"/>
  <c r="I91" i="1" s="1"/>
  <c r="H109" i="2" s="1"/>
  <c r="J45" i="1"/>
  <c r="J94" i="1" s="1"/>
  <c r="I112" i="2" s="1"/>
  <c r="G17" i="1"/>
  <c r="E22" i="1"/>
  <c r="C49" i="2"/>
  <c r="E301" i="1"/>
  <c r="F301" i="1" s="1"/>
  <c r="F310" i="1" s="1"/>
  <c r="D315" i="1"/>
  <c r="G14" i="1"/>
  <c r="H14" i="1" s="1"/>
  <c r="I14" i="1" s="1"/>
  <c r="J14" i="1" s="1"/>
  <c r="K14" i="1" s="1"/>
  <c r="L14" i="1" s="1"/>
  <c r="F28" i="1"/>
  <c r="E135" i="2" s="1"/>
  <c r="E24" i="1"/>
  <c r="D23" i="3"/>
  <c r="F24" i="1"/>
  <c r="C23" i="3"/>
  <c r="H13" i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V38" i="4"/>
  <c r="F21" i="1"/>
  <c r="C55" i="2"/>
  <c r="C59" i="2" s="1"/>
  <c r="C63" i="2" s="1"/>
  <c r="D68" i="1"/>
  <c r="C95" i="2" s="1"/>
  <c r="I315" i="1"/>
  <c r="D66" i="1"/>
  <c r="C93" i="2" s="1"/>
  <c r="C133" i="2" s="1"/>
  <c r="C53" i="2"/>
  <c r="C58" i="2" s="1"/>
  <c r="C62" i="2" s="1"/>
  <c r="C51" i="2"/>
  <c r="D64" i="1"/>
  <c r="M39" i="4"/>
  <c r="Q38" i="4"/>
  <c r="AC38" i="4"/>
  <c r="AG38" i="4"/>
  <c r="D88" i="2"/>
  <c r="E88" i="2" s="1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Q88" i="2" s="1"/>
  <c r="R88" i="2" s="1"/>
  <c r="S88" i="2" s="1"/>
  <c r="T88" i="2" s="1"/>
  <c r="U88" i="2" s="1"/>
  <c r="V88" i="2" s="1"/>
  <c r="W88" i="2" s="1"/>
  <c r="X88" i="2" s="1"/>
  <c r="Y88" i="2" s="1"/>
  <c r="Z88" i="2" s="1"/>
  <c r="AA88" i="2" s="1"/>
  <c r="AB88" i="2" s="1"/>
  <c r="AC88" i="2" s="1"/>
  <c r="AD88" i="2" s="1"/>
  <c r="AE88" i="2" s="1"/>
  <c r="AF88" i="2" s="1"/>
  <c r="AG88" i="2" s="1"/>
  <c r="AH88" i="2" s="1"/>
  <c r="E212" i="1"/>
  <c r="C212" i="1" s="1"/>
  <c r="N38" i="4"/>
  <c r="N39" i="4" s="1"/>
  <c r="R38" i="4"/>
  <c r="AD38" i="4"/>
  <c r="C15" i="3"/>
  <c r="D15" i="3" s="1"/>
  <c r="E15" i="3" s="1"/>
  <c r="F15" i="3" s="1"/>
  <c r="B19" i="3"/>
  <c r="C182" i="1"/>
  <c r="K39" i="4"/>
  <c r="S38" i="4"/>
  <c r="W38" i="4"/>
  <c r="AA38" i="4"/>
  <c r="L39" i="4"/>
  <c r="P38" i="4"/>
  <c r="T38" i="4"/>
  <c r="X38" i="4"/>
  <c r="AB38" i="4"/>
  <c r="AF38" i="4"/>
  <c r="D22" i="3"/>
  <c r="C22" i="3"/>
  <c r="B22" i="3"/>
  <c r="F25" i="3"/>
  <c r="E23" i="3"/>
  <c r="F4" i="5"/>
  <c r="G42" i="4"/>
  <c r="K106" i="5"/>
  <c r="L74" i="5"/>
  <c r="L89" i="5" s="1"/>
  <c r="AA106" i="5"/>
  <c r="AB74" i="5"/>
  <c r="AB89" i="5" s="1"/>
  <c r="D106" i="5"/>
  <c r="E74" i="5"/>
  <c r="E89" i="5" s="1"/>
  <c r="H106" i="5"/>
  <c r="I74" i="5"/>
  <c r="I89" i="5" s="1"/>
  <c r="L106" i="5"/>
  <c r="M74" i="5"/>
  <c r="M89" i="5" s="1"/>
  <c r="Q74" i="5"/>
  <c r="Q89" i="5" s="1"/>
  <c r="P106" i="5"/>
  <c r="T106" i="5"/>
  <c r="U74" i="5"/>
  <c r="U89" i="5" s="1"/>
  <c r="X106" i="5"/>
  <c r="Y74" i="5"/>
  <c r="Y89" i="5" s="1"/>
  <c r="AB106" i="5"/>
  <c r="AC74" i="5"/>
  <c r="AC89" i="5" s="1"/>
  <c r="O106" i="5"/>
  <c r="P74" i="5"/>
  <c r="P89" i="5" s="1"/>
  <c r="E106" i="5"/>
  <c r="F74" i="5"/>
  <c r="F89" i="5" s="1"/>
  <c r="I106" i="5"/>
  <c r="J74" i="5"/>
  <c r="J89" i="5" s="1"/>
  <c r="M106" i="5"/>
  <c r="N74" i="5"/>
  <c r="N89" i="5" s="1"/>
  <c r="Q106" i="5"/>
  <c r="R74" i="5"/>
  <c r="R89" i="5" s="1"/>
  <c r="U106" i="5"/>
  <c r="V74" i="5"/>
  <c r="V89" i="5" s="1"/>
  <c r="Y106" i="5"/>
  <c r="Z74" i="5"/>
  <c r="Z89" i="5" s="1"/>
  <c r="AC106" i="5"/>
  <c r="AD74" i="5"/>
  <c r="AD89" i="5" s="1"/>
  <c r="D109" i="5"/>
  <c r="E77" i="5"/>
  <c r="C106" i="5"/>
  <c r="D74" i="5"/>
  <c r="D89" i="5" s="1"/>
  <c r="S106" i="5"/>
  <c r="T74" i="5"/>
  <c r="T89" i="5" s="1"/>
  <c r="D86" i="5"/>
  <c r="C103" i="5" s="1"/>
  <c r="D70" i="5"/>
  <c r="C74" i="5"/>
  <c r="F106" i="5"/>
  <c r="G74" i="5"/>
  <c r="G89" i="5" s="1"/>
  <c r="J106" i="5"/>
  <c r="K74" i="5"/>
  <c r="K89" i="5" s="1"/>
  <c r="N106" i="5"/>
  <c r="O74" i="5"/>
  <c r="O89" i="5" s="1"/>
  <c r="R106" i="5"/>
  <c r="S74" i="5"/>
  <c r="S89" i="5" s="1"/>
  <c r="V106" i="5"/>
  <c r="W74" i="5"/>
  <c r="W89" i="5" s="1"/>
  <c r="Z106" i="5"/>
  <c r="AA74" i="5"/>
  <c r="AA89" i="5" s="1"/>
  <c r="AD106" i="5"/>
  <c r="AE74" i="5"/>
  <c r="AE89" i="5" s="1"/>
  <c r="G106" i="5"/>
  <c r="H74" i="5"/>
  <c r="H89" i="5" s="1"/>
  <c r="W106" i="5"/>
  <c r="X74" i="5"/>
  <c r="X89" i="5" s="1"/>
  <c r="B93" i="5"/>
  <c r="B94" i="5"/>
  <c r="B64" i="5"/>
  <c r="C86" i="5"/>
  <c r="B103" i="5" s="1"/>
  <c r="E214" i="1" l="1"/>
  <c r="F9" i="8"/>
  <c r="F18" i="8"/>
  <c r="F23" i="8" s="1"/>
  <c r="M9" i="2"/>
  <c r="N25" i="2" s="1"/>
  <c r="B254" i="2"/>
  <c r="B260" i="2"/>
  <c r="H183" i="2"/>
  <c r="F130" i="2"/>
  <c r="C329" i="1"/>
  <c r="C342" i="1"/>
  <c r="B27" i="3" s="1"/>
  <c r="C27" i="3" s="1"/>
  <c r="D27" i="3" s="1"/>
  <c r="B13" i="3"/>
  <c r="E51" i="2"/>
  <c r="D51" i="2"/>
  <c r="M14" i="1"/>
  <c r="B29" i="3"/>
  <c r="F4" i="4"/>
  <c r="D39" i="5"/>
  <c r="D45" i="5" s="1"/>
  <c r="D49" i="5" s="1"/>
  <c r="E35" i="5"/>
  <c r="E117" i="2"/>
  <c r="E116" i="2" s="1"/>
  <c r="G189" i="2"/>
  <c r="E133" i="1"/>
  <c r="C197" i="2"/>
  <c r="C221" i="2"/>
  <c r="C220" i="2"/>
  <c r="C196" i="2"/>
  <c r="R52" i="1"/>
  <c r="R101" i="1" s="1"/>
  <c r="O182" i="2"/>
  <c r="K55" i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AH104" i="1" s="1"/>
  <c r="AI104" i="1" s="1"/>
  <c r="H185" i="2"/>
  <c r="G36" i="1"/>
  <c r="D174" i="2"/>
  <c r="G34" i="1"/>
  <c r="D172" i="2"/>
  <c r="Q150" i="1"/>
  <c r="O206" i="2"/>
  <c r="O233" i="2"/>
  <c r="I146" i="1"/>
  <c r="H115" i="2"/>
  <c r="H119" i="2" s="1"/>
  <c r="H123" i="2" s="1"/>
  <c r="D111" i="2"/>
  <c r="K58" i="1"/>
  <c r="H188" i="2"/>
  <c r="L53" i="1"/>
  <c r="I183" i="2"/>
  <c r="K54" i="1"/>
  <c r="H184" i="2"/>
  <c r="L150" i="2"/>
  <c r="Q51" i="1"/>
  <c r="N181" i="2"/>
  <c r="E136" i="1"/>
  <c r="C224" i="2"/>
  <c r="C200" i="2"/>
  <c r="I144" i="1"/>
  <c r="H113" i="2"/>
  <c r="H118" i="2" s="1"/>
  <c r="H122" i="2" s="1"/>
  <c r="D215" i="1"/>
  <c r="D216" i="1" s="1"/>
  <c r="C222" i="1" s="1"/>
  <c r="I69" i="2"/>
  <c r="D122" i="1"/>
  <c r="C91" i="2"/>
  <c r="J153" i="1"/>
  <c r="H236" i="2"/>
  <c r="H209" i="2"/>
  <c r="G37" i="1"/>
  <c r="D175" i="2"/>
  <c r="G38" i="1"/>
  <c r="D176" i="2"/>
  <c r="N153" i="2"/>
  <c r="M158" i="2"/>
  <c r="M162" i="2" s="1"/>
  <c r="K56" i="1"/>
  <c r="H186" i="2"/>
  <c r="T32" i="1"/>
  <c r="T72" i="1" s="1"/>
  <c r="Q170" i="2"/>
  <c r="Q33" i="1"/>
  <c r="N171" i="2"/>
  <c r="K57" i="1"/>
  <c r="H187" i="2"/>
  <c r="R31" i="1"/>
  <c r="O169" i="2"/>
  <c r="N155" i="2"/>
  <c r="M159" i="2"/>
  <c r="M163" i="2" s="1"/>
  <c r="C57" i="2"/>
  <c r="C61" i="2" s="1"/>
  <c r="C60" i="2" s="1"/>
  <c r="E132" i="1"/>
  <c r="F22" i="1"/>
  <c r="E62" i="1"/>
  <c r="AB37" i="2"/>
  <c r="I141" i="1"/>
  <c r="F142" i="1"/>
  <c r="E66" i="1"/>
  <c r="D124" i="1"/>
  <c r="E124" i="1" s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R124" i="1" s="1"/>
  <c r="S124" i="1" s="1"/>
  <c r="T124" i="1" s="1"/>
  <c r="U124" i="1" s="1"/>
  <c r="V124" i="1" s="1"/>
  <c r="W124" i="1" s="1"/>
  <c r="X124" i="1" s="1"/>
  <c r="Y124" i="1" s="1"/>
  <c r="Z124" i="1" s="1"/>
  <c r="AA124" i="1" s="1"/>
  <c r="AB124" i="1" s="1"/>
  <c r="AC124" i="1" s="1"/>
  <c r="AD124" i="1" s="1"/>
  <c r="AE124" i="1" s="1"/>
  <c r="AF124" i="1" s="1"/>
  <c r="AG124" i="1" s="1"/>
  <c r="AH124" i="1" s="1"/>
  <c r="AI124" i="1" s="1"/>
  <c r="E142" i="1"/>
  <c r="E68" i="1"/>
  <c r="D126" i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AH126" i="1" s="1"/>
  <c r="AI126" i="1" s="1"/>
  <c r="G35" i="1"/>
  <c r="G75" i="1" s="1"/>
  <c r="K47" i="1"/>
  <c r="K96" i="1" s="1"/>
  <c r="J114" i="2" s="1"/>
  <c r="K48" i="1"/>
  <c r="J97" i="1"/>
  <c r="K46" i="1"/>
  <c r="J95" i="1"/>
  <c r="J92" i="1"/>
  <c r="I110" i="2" s="1"/>
  <c r="E160" i="1"/>
  <c r="G24" i="1"/>
  <c r="G301" i="1"/>
  <c r="H301" i="1" s="1"/>
  <c r="J42" i="1"/>
  <c r="J91" i="1" s="1"/>
  <c r="I109" i="2" s="1"/>
  <c r="K45" i="1"/>
  <c r="K94" i="1" s="1"/>
  <c r="J112" i="2" s="1"/>
  <c r="H17" i="1"/>
  <c r="G44" i="1"/>
  <c r="F71" i="2" s="1"/>
  <c r="F77" i="2" s="1"/>
  <c r="F64" i="1"/>
  <c r="E91" i="2" s="1"/>
  <c r="E310" i="1"/>
  <c r="E64" i="1"/>
  <c r="D91" i="2" s="1"/>
  <c r="G28" i="1"/>
  <c r="F135" i="2" s="1"/>
  <c r="B225" i="2"/>
  <c r="C7" i="4" s="1"/>
  <c r="E19" i="3"/>
  <c r="D19" i="3"/>
  <c r="D13" i="3" s="1"/>
  <c r="C19" i="3"/>
  <c r="C13" i="3" s="1"/>
  <c r="F20" i="4"/>
  <c r="G4" i="4"/>
  <c r="S62" i="5"/>
  <c r="S92" i="5"/>
  <c r="J92" i="5"/>
  <c r="J62" i="5"/>
  <c r="M92" i="5"/>
  <c r="M62" i="5"/>
  <c r="D49" i="2"/>
  <c r="U92" i="5"/>
  <c r="U62" i="5"/>
  <c r="C89" i="5"/>
  <c r="G4" i="5"/>
  <c r="F56" i="5"/>
  <c r="E22" i="3"/>
  <c r="AA92" i="5"/>
  <c r="AA62" i="5"/>
  <c r="T41" i="4"/>
  <c r="T39" i="4"/>
  <c r="K92" i="5"/>
  <c r="K62" i="5"/>
  <c r="W41" i="4"/>
  <c r="W39" i="4"/>
  <c r="G15" i="3"/>
  <c r="F19" i="3"/>
  <c r="AC41" i="4"/>
  <c r="AC39" i="4"/>
  <c r="Q41" i="4"/>
  <c r="Q39" i="4"/>
  <c r="D53" i="2"/>
  <c r="D55" i="2"/>
  <c r="F61" i="1"/>
  <c r="G21" i="1"/>
  <c r="AB41" i="4"/>
  <c r="AB39" i="4"/>
  <c r="J315" i="1"/>
  <c r="H50" i="2"/>
  <c r="B96" i="5"/>
  <c r="B114" i="5" s="1"/>
  <c r="B79" i="5"/>
  <c r="AE92" i="5"/>
  <c r="AE62" i="5"/>
  <c r="X41" i="4"/>
  <c r="X39" i="4"/>
  <c r="O92" i="5"/>
  <c r="O62" i="5"/>
  <c r="AA41" i="4"/>
  <c r="AA39" i="4"/>
  <c r="S41" i="4"/>
  <c r="S39" i="4"/>
  <c r="AD39" i="4"/>
  <c r="AD41" i="4"/>
  <c r="R39" i="4"/>
  <c r="R41" i="4"/>
  <c r="B168" i="2"/>
  <c r="AF92" i="5"/>
  <c r="AF62" i="5"/>
  <c r="L92" i="5"/>
  <c r="L62" i="5"/>
  <c r="F54" i="2"/>
  <c r="G25" i="3"/>
  <c r="F23" i="3"/>
  <c r="V92" i="5"/>
  <c r="V62" i="5"/>
  <c r="AG41" i="4"/>
  <c r="AG39" i="4"/>
  <c r="P92" i="5"/>
  <c r="P62" i="5"/>
  <c r="H62" i="5"/>
  <c r="H24" i="1"/>
  <c r="H42" i="4"/>
  <c r="E86" i="5"/>
  <c r="D103" i="5" s="1"/>
  <c r="E70" i="5"/>
  <c r="AF41" i="4"/>
  <c r="AF39" i="4"/>
  <c r="P41" i="4"/>
  <c r="P39" i="4"/>
  <c r="G62" i="5"/>
  <c r="Z92" i="5"/>
  <c r="Z62" i="5"/>
  <c r="F62" i="5"/>
  <c r="AC92" i="5"/>
  <c r="AC62" i="5"/>
  <c r="Q92" i="5"/>
  <c r="Q62" i="5"/>
  <c r="I92" i="5"/>
  <c r="I62" i="5"/>
  <c r="C192" i="1"/>
  <c r="C214" i="1" s="1"/>
  <c r="H52" i="2"/>
  <c r="V39" i="4"/>
  <c r="V41" i="4"/>
  <c r="F33" i="8" l="1"/>
  <c r="F28" i="8"/>
  <c r="F42" i="8"/>
  <c r="N9" i="2"/>
  <c r="O25" i="2" s="1"/>
  <c r="D57" i="2"/>
  <c r="D61" i="2" s="1"/>
  <c r="AD4" i="8"/>
  <c r="AD70" i="8" s="1"/>
  <c r="AD75" i="8" s="1"/>
  <c r="M4" i="8"/>
  <c r="M70" i="8" s="1"/>
  <c r="M75" i="8" s="1"/>
  <c r="R4" i="8"/>
  <c r="R70" i="8" s="1"/>
  <c r="R75" i="8" s="1"/>
  <c r="P4" i="8"/>
  <c r="P70" i="8" s="1"/>
  <c r="P75" i="8" s="1"/>
  <c r="AF4" i="8"/>
  <c r="AF70" i="8" s="1"/>
  <c r="AF75" i="8" s="1"/>
  <c r="V4" i="8"/>
  <c r="V70" i="8" s="1"/>
  <c r="V75" i="8" s="1"/>
  <c r="T4" i="8"/>
  <c r="T70" i="8" s="1"/>
  <c r="T75" i="8" s="1"/>
  <c r="J4" i="8"/>
  <c r="J70" i="8" s="1"/>
  <c r="J75" i="8" s="1"/>
  <c r="N4" i="8"/>
  <c r="N70" i="8" s="1"/>
  <c r="N75" i="8" s="1"/>
  <c r="AA4" i="8"/>
  <c r="AA70" i="8" s="1"/>
  <c r="AA75" i="8" s="1"/>
  <c r="Q4" i="8"/>
  <c r="Q70" i="8" s="1"/>
  <c r="Q75" i="8" s="1"/>
  <c r="W4" i="8"/>
  <c r="W70" i="8" s="1"/>
  <c r="W75" i="8" s="1"/>
  <c r="AG4" i="8"/>
  <c r="AG70" i="8" s="1"/>
  <c r="AG75" i="8" s="1"/>
  <c r="L4" i="8"/>
  <c r="L70" i="8" s="1"/>
  <c r="L75" i="8" s="1"/>
  <c r="AB4" i="8"/>
  <c r="AB70" i="8" s="1"/>
  <c r="AB75" i="8" s="1"/>
  <c r="K4" i="8"/>
  <c r="K70" i="8" s="1"/>
  <c r="K75" i="8" s="1"/>
  <c r="I4" i="8"/>
  <c r="I70" i="8" s="1"/>
  <c r="I75" i="8" s="1"/>
  <c r="H4" i="8"/>
  <c r="H70" i="8" s="1"/>
  <c r="H75" i="8" s="1"/>
  <c r="G4" i="8"/>
  <c r="G70" i="8" s="1"/>
  <c r="G75" i="8" s="1"/>
  <c r="H34" i="1"/>
  <c r="I34" i="1" s="1"/>
  <c r="G130" i="2"/>
  <c r="F80" i="1"/>
  <c r="B246" i="2"/>
  <c r="B280" i="2" s="1"/>
  <c r="F82" i="1"/>
  <c r="F81" i="1"/>
  <c r="F84" i="1"/>
  <c r="F83" i="1"/>
  <c r="F85" i="1"/>
  <c r="F160" i="1"/>
  <c r="G22" i="1"/>
  <c r="C215" i="1"/>
  <c r="E121" i="2"/>
  <c r="C224" i="1"/>
  <c r="B42" i="5"/>
  <c r="C11" i="5"/>
  <c r="B52" i="5"/>
  <c r="C12" i="5"/>
  <c r="B26" i="3"/>
  <c r="B11" i="3"/>
  <c r="C330" i="1"/>
  <c r="B12" i="3" s="1"/>
  <c r="F51" i="2"/>
  <c r="N14" i="1"/>
  <c r="C29" i="3"/>
  <c r="C26" i="3" s="1"/>
  <c r="C30" i="3" s="1"/>
  <c r="I107" i="5" s="1"/>
  <c r="E39" i="5"/>
  <c r="E45" i="5" s="1"/>
  <c r="E49" i="5" s="1"/>
  <c r="F35" i="5"/>
  <c r="E131" i="2"/>
  <c r="C131" i="2"/>
  <c r="D117" i="2"/>
  <c r="D121" i="2" s="1"/>
  <c r="D131" i="2"/>
  <c r="H189" i="2"/>
  <c r="R150" i="1"/>
  <c r="P206" i="2"/>
  <c r="P233" i="2"/>
  <c r="J144" i="1"/>
  <c r="I113" i="2"/>
  <c r="I118" i="2" s="1"/>
  <c r="I122" i="2" s="1"/>
  <c r="O155" i="2"/>
  <c r="N159" i="2"/>
  <c r="N163" i="2" s="1"/>
  <c r="L57" i="1"/>
  <c r="I187" i="2"/>
  <c r="U32" i="1"/>
  <c r="U72" i="1" s="1"/>
  <c r="R170" i="2"/>
  <c r="O153" i="2"/>
  <c r="N158" i="2"/>
  <c r="N162" i="2" s="1"/>
  <c r="H38" i="1"/>
  <c r="E176" i="2"/>
  <c r="D177" i="2"/>
  <c r="F130" i="1"/>
  <c r="D194" i="2"/>
  <c r="D218" i="2"/>
  <c r="H35" i="1"/>
  <c r="H75" i="1" s="1"/>
  <c r="E173" i="2"/>
  <c r="F66" i="1"/>
  <c r="D93" i="2"/>
  <c r="D133" i="2" s="1"/>
  <c r="R51" i="1"/>
  <c r="O181" i="2"/>
  <c r="L54" i="1"/>
  <c r="I184" i="2"/>
  <c r="M53" i="1"/>
  <c r="J183" i="2"/>
  <c r="E172" i="2"/>
  <c r="K153" i="1"/>
  <c r="I209" i="2"/>
  <c r="I236" i="2"/>
  <c r="J146" i="1"/>
  <c r="I115" i="2"/>
  <c r="I119" i="2" s="1"/>
  <c r="I123" i="2" s="1"/>
  <c r="F133" i="1"/>
  <c r="D221" i="2"/>
  <c r="D197" i="2"/>
  <c r="F68" i="1"/>
  <c r="D95" i="2"/>
  <c r="E151" i="2"/>
  <c r="E157" i="2" s="1"/>
  <c r="D129" i="2"/>
  <c r="D89" i="2"/>
  <c r="S31" i="1"/>
  <c r="P169" i="2"/>
  <c r="R33" i="1"/>
  <c r="O171" i="2"/>
  <c r="L56" i="1"/>
  <c r="I186" i="2"/>
  <c r="H37" i="1"/>
  <c r="I37" i="1" s="1"/>
  <c r="E175" i="2"/>
  <c r="H36" i="1"/>
  <c r="I36" i="1" s="1"/>
  <c r="E174" i="2"/>
  <c r="S52" i="1"/>
  <c r="S101" i="1" s="1"/>
  <c r="P182" i="2"/>
  <c r="F81" i="2"/>
  <c r="F80" i="2" s="1"/>
  <c r="E252" i="2" s="1"/>
  <c r="F76" i="2"/>
  <c r="D151" i="2"/>
  <c r="D157" i="2" s="1"/>
  <c r="J69" i="2"/>
  <c r="M150" i="2"/>
  <c r="L58" i="1"/>
  <c r="I188" i="2"/>
  <c r="L55" i="1"/>
  <c r="I185" i="2"/>
  <c r="C56" i="2"/>
  <c r="F90" i="1"/>
  <c r="F119" i="1"/>
  <c r="F139" i="1" s="1"/>
  <c r="F159" i="1" s="1"/>
  <c r="F164" i="1" s="1"/>
  <c r="F62" i="1"/>
  <c r="AC37" i="2"/>
  <c r="J141" i="1"/>
  <c r="E122" i="1"/>
  <c r="F122" i="1"/>
  <c r="E217" i="1"/>
  <c r="C217" i="1" s="1"/>
  <c r="E215" i="1"/>
  <c r="L47" i="1"/>
  <c r="L96" i="1" s="1"/>
  <c r="K114" i="2" s="1"/>
  <c r="K92" i="1"/>
  <c r="J110" i="2" s="1"/>
  <c r="L48" i="1"/>
  <c r="K97" i="1"/>
  <c r="G93" i="1"/>
  <c r="F111" i="2" s="1"/>
  <c r="G165" i="1"/>
  <c r="L46" i="1"/>
  <c r="K95" i="1"/>
  <c r="G310" i="1"/>
  <c r="G64" i="1"/>
  <c r="F91" i="2" s="1"/>
  <c r="E13" i="3"/>
  <c r="K42" i="1"/>
  <c r="K91" i="1" s="1"/>
  <c r="J109" i="2" s="1"/>
  <c r="L45" i="1"/>
  <c r="L94" i="1" s="1"/>
  <c r="K112" i="2" s="1"/>
  <c r="I17" i="1"/>
  <c r="H44" i="1"/>
  <c r="G71" i="2" s="1"/>
  <c r="G77" i="2" s="1"/>
  <c r="C311" i="1"/>
  <c r="H28" i="1"/>
  <c r="G135" i="2" s="1"/>
  <c r="I77" i="5"/>
  <c r="H109" i="5"/>
  <c r="E27" i="3"/>
  <c r="Z109" i="5"/>
  <c r="AA77" i="5"/>
  <c r="I42" i="4"/>
  <c r="K109" i="5"/>
  <c r="L77" i="5"/>
  <c r="E53" i="2"/>
  <c r="D58" i="2"/>
  <c r="D62" i="2" s="1"/>
  <c r="T109" i="5"/>
  <c r="U77" i="5"/>
  <c r="I109" i="5"/>
  <c r="J77" i="5"/>
  <c r="R109" i="5"/>
  <c r="S77" i="5"/>
  <c r="AC77" i="5"/>
  <c r="AB109" i="5"/>
  <c r="I24" i="1"/>
  <c r="G54" i="2"/>
  <c r="H4" i="4"/>
  <c r="G20" i="4"/>
  <c r="G51" i="2"/>
  <c r="H64" i="1"/>
  <c r="G109" i="5"/>
  <c r="H77" i="5"/>
  <c r="U109" i="5"/>
  <c r="V77" i="5"/>
  <c r="H310" i="1"/>
  <c r="I301" i="1"/>
  <c r="B192" i="2"/>
  <c r="C168" i="2"/>
  <c r="D168" i="2" s="1"/>
  <c r="E168" i="2" s="1"/>
  <c r="F168" i="2" s="1"/>
  <c r="G168" i="2" s="1"/>
  <c r="H168" i="2" s="1"/>
  <c r="I168" i="2" s="1"/>
  <c r="J168" i="2" s="1"/>
  <c r="K168" i="2" s="1"/>
  <c r="L168" i="2" s="1"/>
  <c r="M168" i="2" s="1"/>
  <c r="N168" i="2" s="1"/>
  <c r="O168" i="2" s="1"/>
  <c r="P168" i="2" s="1"/>
  <c r="Q168" i="2" s="1"/>
  <c r="R168" i="2" s="1"/>
  <c r="S168" i="2" s="1"/>
  <c r="T168" i="2" s="1"/>
  <c r="U168" i="2" s="1"/>
  <c r="V168" i="2" s="1"/>
  <c r="W168" i="2" s="1"/>
  <c r="X168" i="2" s="1"/>
  <c r="Y168" i="2" s="1"/>
  <c r="Z168" i="2" s="1"/>
  <c r="AA168" i="2" s="1"/>
  <c r="AB168" i="2" s="1"/>
  <c r="AC168" i="2" s="1"/>
  <c r="AD168" i="2" s="1"/>
  <c r="AE168" i="2" s="1"/>
  <c r="AF168" i="2" s="1"/>
  <c r="AG168" i="2" s="1"/>
  <c r="K315" i="1"/>
  <c r="F86" i="5"/>
  <c r="E103" i="5" s="1"/>
  <c r="F70" i="5"/>
  <c r="I50" i="2"/>
  <c r="G61" i="1"/>
  <c r="H21" i="1"/>
  <c r="J109" i="5"/>
  <c r="K77" i="5"/>
  <c r="F22" i="3"/>
  <c r="F13" i="3" s="1"/>
  <c r="I52" i="2"/>
  <c r="P109" i="5"/>
  <c r="Q77" i="5"/>
  <c r="E109" i="5"/>
  <c r="F77" i="5"/>
  <c r="Y109" i="5"/>
  <c r="Z77" i="5"/>
  <c r="F109" i="5"/>
  <c r="G77" i="5"/>
  <c r="O109" i="5"/>
  <c r="P77" i="5"/>
  <c r="H25" i="3"/>
  <c r="G23" i="3"/>
  <c r="AE109" i="5"/>
  <c r="AF77" i="5"/>
  <c r="N109" i="5"/>
  <c r="O77" i="5"/>
  <c r="AD109" i="5"/>
  <c r="AE77" i="5"/>
  <c r="E55" i="2"/>
  <c r="D59" i="2"/>
  <c r="D63" i="2" s="1"/>
  <c r="H15" i="3"/>
  <c r="G19" i="3"/>
  <c r="G56" i="5"/>
  <c r="H4" i="5"/>
  <c r="E49" i="2"/>
  <c r="M77" i="5"/>
  <c r="L109" i="5"/>
  <c r="C216" i="1" l="1"/>
  <c r="AA9" i="8"/>
  <c r="AA18" i="8"/>
  <c r="V9" i="8"/>
  <c r="V18" i="8"/>
  <c r="M9" i="8"/>
  <c r="M18" i="8"/>
  <c r="G9" i="8"/>
  <c r="G18" i="8"/>
  <c r="K9" i="8"/>
  <c r="K18" i="8"/>
  <c r="L9" i="8"/>
  <c r="L18" i="8"/>
  <c r="W9" i="8"/>
  <c r="W18" i="8"/>
  <c r="J9" i="8"/>
  <c r="J18" i="8"/>
  <c r="P9" i="8"/>
  <c r="P18" i="8"/>
  <c r="H18" i="8"/>
  <c r="H9" i="8"/>
  <c r="Q9" i="8"/>
  <c r="Q18" i="8"/>
  <c r="AF9" i="8"/>
  <c r="AF18" i="8"/>
  <c r="F56" i="8"/>
  <c r="F47" i="8"/>
  <c r="I18" i="8"/>
  <c r="I9" i="8"/>
  <c r="AB9" i="8"/>
  <c r="AB18" i="8"/>
  <c r="AG9" i="8"/>
  <c r="AG18" i="8"/>
  <c r="N9" i="8"/>
  <c r="N18" i="8"/>
  <c r="T9" i="8"/>
  <c r="T18" i="8"/>
  <c r="R9" i="8"/>
  <c r="R18" i="8"/>
  <c r="AD9" i="8"/>
  <c r="AD18" i="8"/>
  <c r="O9" i="2"/>
  <c r="P25" i="2" s="1"/>
  <c r="H130" i="2"/>
  <c r="E120" i="2"/>
  <c r="E124" i="2" s="1"/>
  <c r="E3" i="10"/>
  <c r="E17" i="10" s="1"/>
  <c r="D120" i="2"/>
  <c r="D124" i="2" s="1"/>
  <c r="H133" i="1"/>
  <c r="I35" i="1"/>
  <c r="I75" i="1" s="1"/>
  <c r="C52" i="5"/>
  <c r="F38" i="4" s="1"/>
  <c r="D12" i="5"/>
  <c r="B9" i="3"/>
  <c r="B109" i="5"/>
  <c r="E38" i="4"/>
  <c r="O14" i="1"/>
  <c r="D29" i="3"/>
  <c r="D26" i="3" s="1"/>
  <c r="D30" i="3" s="1"/>
  <c r="J107" i="5" s="1"/>
  <c r="F39" i="5"/>
  <c r="F45" i="5" s="1"/>
  <c r="F49" i="5" s="1"/>
  <c r="G35" i="5"/>
  <c r="G39" i="5" s="1"/>
  <c r="G45" i="5" s="1"/>
  <c r="G49" i="5" s="1"/>
  <c r="D116" i="2"/>
  <c r="F131" i="2"/>
  <c r="F117" i="2"/>
  <c r="F116" i="2" s="1"/>
  <c r="D137" i="2"/>
  <c r="I189" i="2"/>
  <c r="M55" i="1"/>
  <c r="J185" i="2"/>
  <c r="N150" i="2"/>
  <c r="D161" i="2"/>
  <c r="D160" i="2" s="1"/>
  <c r="D156" i="2"/>
  <c r="E177" i="2"/>
  <c r="N53" i="1"/>
  <c r="K183" i="2"/>
  <c r="S51" i="1"/>
  <c r="P181" i="2"/>
  <c r="G81" i="2"/>
  <c r="G80" i="2" s="1"/>
  <c r="F252" i="2" s="1"/>
  <c r="G76" i="2"/>
  <c r="S150" i="1"/>
  <c r="Q206" i="2"/>
  <c r="Q233" i="2"/>
  <c r="E129" i="2"/>
  <c r="E137" i="2" s="1"/>
  <c r="E89" i="2"/>
  <c r="T52" i="1"/>
  <c r="T101" i="1" s="1"/>
  <c r="Q182" i="2"/>
  <c r="F175" i="2"/>
  <c r="S33" i="1"/>
  <c r="P171" i="2"/>
  <c r="G68" i="1"/>
  <c r="E95" i="2"/>
  <c r="F172" i="2"/>
  <c r="F173" i="2"/>
  <c r="P153" i="2"/>
  <c r="O158" i="2"/>
  <c r="O162" i="2" s="1"/>
  <c r="M57" i="1"/>
  <c r="J187" i="2"/>
  <c r="H122" i="1"/>
  <c r="G91" i="2"/>
  <c r="G130" i="1"/>
  <c r="E218" i="2"/>
  <c r="E194" i="2"/>
  <c r="K144" i="1"/>
  <c r="J113" i="2"/>
  <c r="J118" i="2" s="1"/>
  <c r="J122" i="2" s="1"/>
  <c r="K146" i="1"/>
  <c r="J115" i="2"/>
  <c r="J119" i="2" s="1"/>
  <c r="J123" i="2" s="1"/>
  <c r="M58" i="1"/>
  <c r="J188" i="2"/>
  <c r="K69" i="2"/>
  <c r="E161" i="2"/>
  <c r="E160" i="2" s="1"/>
  <c r="E156" i="2"/>
  <c r="M54" i="1"/>
  <c r="J184" i="2"/>
  <c r="L153" i="1"/>
  <c r="J209" i="2"/>
  <c r="J236" i="2"/>
  <c r="G133" i="1"/>
  <c r="E197" i="2"/>
  <c r="E221" i="2"/>
  <c r="F174" i="2"/>
  <c r="M56" i="1"/>
  <c r="J186" i="2"/>
  <c r="T31" i="1"/>
  <c r="Q169" i="2"/>
  <c r="G66" i="1"/>
  <c r="E93" i="2"/>
  <c r="E133" i="2" s="1"/>
  <c r="I38" i="1"/>
  <c r="F176" i="2"/>
  <c r="V32" i="1"/>
  <c r="V72" i="1" s="1"/>
  <c r="S170" i="2"/>
  <c r="P155" i="2"/>
  <c r="O159" i="2"/>
  <c r="O163" i="2" s="1"/>
  <c r="H22" i="1"/>
  <c r="H160" i="1" s="1"/>
  <c r="G62" i="1"/>
  <c r="F129" i="2" s="1"/>
  <c r="G90" i="1"/>
  <c r="G119" i="1"/>
  <c r="G139" i="1" s="1"/>
  <c r="G159" i="1" s="1"/>
  <c r="G164" i="1" s="1"/>
  <c r="G160" i="1"/>
  <c r="E216" i="1"/>
  <c r="D222" i="1" s="1"/>
  <c r="AD37" i="2"/>
  <c r="K141" i="1"/>
  <c r="G142" i="1"/>
  <c r="G122" i="1"/>
  <c r="C304" i="1"/>
  <c r="C30" i="4" s="1"/>
  <c r="M46" i="1"/>
  <c r="L95" i="1"/>
  <c r="H93" i="1"/>
  <c r="G111" i="2" s="1"/>
  <c r="H165" i="1"/>
  <c r="L92" i="1"/>
  <c r="K110" i="2" s="1"/>
  <c r="M48" i="1"/>
  <c r="L97" i="1"/>
  <c r="M47" i="1"/>
  <c r="M96" i="1" s="1"/>
  <c r="L114" i="2" s="1"/>
  <c r="H130" i="1"/>
  <c r="L42" i="1"/>
  <c r="L91" i="1" s="1"/>
  <c r="K109" i="2" s="1"/>
  <c r="M45" i="1"/>
  <c r="M94" i="1" s="1"/>
  <c r="L112" i="2" s="1"/>
  <c r="J17" i="1"/>
  <c r="I44" i="1"/>
  <c r="H71" i="2" s="1"/>
  <c r="H77" i="2" s="1"/>
  <c r="C305" i="1"/>
  <c r="C32" i="4" s="1"/>
  <c r="I28" i="1"/>
  <c r="H135" i="2" s="1"/>
  <c r="G22" i="3"/>
  <c r="G13" i="3" s="1"/>
  <c r="H56" i="5"/>
  <c r="I4" i="5"/>
  <c r="F55" i="2"/>
  <c r="E59" i="2"/>
  <c r="E63" i="2" s="1"/>
  <c r="C192" i="2"/>
  <c r="D192" i="2" s="1"/>
  <c r="E192" i="2" s="1"/>
  <c r="F192" i="2" s="1"/>
  <c r="G192" i="2" s="1"/>
  <c r="H192" i="2" s="1"/>
  <c r="I192" i="2" s="1"/>
  <c r="J192" i="2" s="1"/>
  <c r="K192" i="2" s="1"/>
  <c r="L192" i="2" s="1"/>
  <c r="M192" i="2" s="1"/>
  <c r="N192" i="2" s="1"/>
  <c r="O192" i="2" s="1"/>
  <c r="P192" i="2" s="1"/>
  <c r="Q192" i="2" s="1"/>
  <c r="R192" i="2" s="1"/>
  <c r="S192" i="2" s="1"/>
  <c r="T192" i="2" s="1"/>
  <c r="U192" i="2" s="1"/>
  <c r="V192" i="2" s="1"/>
  <c r="W192" i="2" s="1"/>
  <c r="X192" i="2" s="1"/>
  <c r="Y192" i="2" s="1"/>
  <c r="Z192" i="2" s="1"/>
  <c r="AA192" i="2" s="1"/>
  <c r="AB192" i="2" s="1"/>
  <c r="AC192" i="2" s="1"/>
  <c r="AD192" i="2" s="1"/>
  <c r="AE192" i="2" s="1"/>
  <c r="AF192" i="2" s="1"/>
  <c r="AG192" i="2" s="1"/>
  <c r="B216" i="2"/>
  <c r="H51" i="2"/>
  <c r="I64" i="1"/>
  <c r="J50" i="2"/>
  <c r="D60" i="2"/>
  <c r="D56" i="2"/>
  <c r="C62" i="5"/>
  <c r="I25" i="3"/>
  <c r="H23" i="3"/>
  <c r="H61" i="1"/>
  <c r="I21" i="1"/>
  <c r="I4" i="4"/>
  <c r="H20" i="4"/>
  <c r="F53" i="2"/>
  <c r="E58" i="2"/>
  <c r="E62" i="2" s="1"/>
  <c r="J42" i="4"/>
  <c r="F27" i="3"/>
  <c r="E57" i="2"/>
  <c r="E61" i="2" s="1"/>
  <c r="F49" i="2"/>
  <c r="G70" i="5"/>
  <c r="G86" i="5"/>
  <c r="F103" i="5" s="1"/>
  <c r="H54" i="2"/>
  <c r="J24" i="1"/>
  <c r="I15" i="3"/>
  <c r="H19" i="3"/>
  <c r="J52" i="2"/>
  <c r="L315" i="1"/>
  <c r="J301" i="1"/>
  <c r="I310" i="1"/>
  <c r="F61" i="8" l="1"/>
  <c r="AD28" i="8"/>
  <c r="AD23" i="8"/>
  <c r="AD33" i="8" s="1"/>
  <c r="T23" i="8"/>
  <c r="T33" i="8" s="1"/>
  <c r="T28" i="8"/>
  <c r="AG28" i="8"/>
  <c r="AG23" i="8"/>
  <c r="AG33" i="8" s="1"/>
  <c r="AF23" i="8"/>
  <c r="AF33" i="8" s="1"/>
  <c r="AF28" i="8"/>
  <c r="J28" i="8"/>
  <c r="J23" i="8"/>
  <c r="J33" i="8" s="1"/>
  <c r="L23" i="8"/>
  <c r="L33" i="8" s="1"/>
  <c r="L28" i="8"/>
  <c r="G23" i="8"/>
  <c r="G33" i="8" s="1"/>
  <c r="G28" i="8"/>
  <c r="V28" i="8"/>
  <c r="V23" i="8"/>
  <c r="V33" i="8" s="1"/>
  <c r="I23" i="8"/>
  <c r="I33" i="8" s="1"/>
  <c r="I28" i="8"/>
  <c r="H23" i="8"/>
  <c r="H33" i="8" s="1"/>
  <c r="H28" i="8"/>
  <c r="R28" i="8"/>
  <c r="R23" i="8"/>
  <c r="R33" i="8" s="1"/>
  <c r="N28" i="8"/>
  <c r="N23" i="8"/>
  <c r="N33" i="8" s="1"/>
  <c r="AB23" i="8"/>
  <c r="AB33" i="8" s="1"/>
  <c r="AB28" i="8"/>
  <c r="Q23" i="8"/>
  <c r="Q33" i="8" s="1"/>
  <c r="Q28" i="8"/>
  <c r="P23" i="8"/>
  <c r="P33" i="8" s="1"/>
  <c r="P28" i="8"/>
  <c r="W23" i="8"/>
  <c r="W33" i="8" s="1"/>
  <c r="W28" i="8"/>
  <c r="K23" i="8"/>
  <c r="K33" i="8" s="1"/>
  <c r="K28" i="8"/>
  <c r="M23" i="8"/>
  <c r="M33" i="8" s="1"/>
  <c r="M28" i="8"/>
  <c r="AA28" i="8"/>
  <c r="AA23" i="8"/>
  <c r="AA33" i="8" s="1"/>
  <c r="AD42" i="8"/>
  <c r="T42" i="8"/>
  <c r="AG42" i="8"/>
  <c r="AF42" i="8"/>
  <c r="J42" i="8"/>
  <c r="L42" i="8"/>
  <c r="G42" i="8"/>
  <c r="V42" i="8"/>
  <c r="I42" i="8"/>
  <c r="H42" i="8"/>
  <c r="R42" i="8"/>
  <c r="N42" i="8"/>
  <c r="AB42" i="8"/>
  <c r="Q42" i="8"/>
  <c r="P42" i="8"/>
  <c r="W42" i="8"/>
  <c r="K42" i="8"/>
  <c r="M42" i="8"/>
  <c r="AA42" i="8"/>
  <c r="I130" i="2"/>
  <c r="P9" i="2"/>
  <c r="Q25" i="2" s="1"/>
  <c r="F221" i="2"/>
  <c r="F197" i="2"/>
  <c r="D126" i="2"/>
  <c r="D125" i="2"/>
  <c r="C2" i="13"/>
  <c r="D2" i="13" s="1"/>
  <c r="F2" i="13" s="1"/>
  <c r="E126" i="2"/>
  <c r="E125" i="2"/>
  <c r="C246" i="2"/>
  <c r="C280" i="2" s="1"/>
  <c r="F102" i="1"/>
  <c r="F103" i="1"/>
  <c r="F105" i="1"/>
  <c r="F107" i="1"/>
  <c r="F106" i="1"/>
  <c r="B30" i="3"/>
  <c r="H107" i="5" s="1"/>
  <c r="H52" i="5"/>
  <c r="D224" i="1"/>
  <c r="I5" i="2" s="1"/>
  <c r="D11" i="5"/>
  <c r="D27" i="5" s="1"/>
  <c r="C42" i="5"/>
  <c r="H42" i="5" s="1"/>
  <c r="P14" i="1"/>
  <c r="E29" i="3"/>
  <c r="E26" i="3" s="1"/>
  <c r="E30" i="3" s="1"/>
  <c r="K107" i="5" s="1"/>
  <c r="D141" i="2"/>
  <c r="F121" i="2"/>
  <c r="G117" i="2"/>
  <c r="G116" i="2" s="1"/>
  <c r="G131" i="2"/>
  <c r="J189" i="2"/>
  <c r="F177" i="2"/>
  <c r="T150" i="1"/>
  <c r="R206" i="2"/>
  <c r="R233" i="2"/>
  <c r="L146" i="1"/>
  <c r="K115" i="2"/>
  <c r="K119" i="2" s="1"/>
  <c r="K123" i="2" s="1"/>
  <c r="E13" i="10" s="1"/>
  <c r="N57" i="1"/>
  <c r="K187" i="2"/>
  <c r="J35" i="1"/>
  <c r="J75" i="1" s="1"/>
  <c r="G173" i="2"/>
  <c r="H68" i="1"/>
  <c r="F95" i="2"/>
  <c r="T33" i="1"/>
  <c r="Q171" i="2"/>
  <c r="U52" i="1"/>
  <c r="U101" i="1" s="1"/>
  <c r="R182" i="2"/>
  <c r="N55" i="1"/>
  <c r="K185" i="2"/>
  <c r="H81" i="2"/>
  <c r="H80" i="2" s="1"/>
  <c r="G252" i="2" s="1"/>
  <c r="H76" i="2"/>
  <c r="W32" i="1"/>
  <c r="W72" i="1" s="1"/>
  <c r="T170" i="2"/>
  <c r="N56" i="1"/>
  <c r="K186" i="2"/>
  <c r="O53" i="1"/>
  <c r="L183" i="2"/>
  <c r="I122" i="1"/>
  <c r="H91" i="2"/>
  <c r="I133" i="1"/>
  <c r="G197" i="2"/>
  <c r="G221" i="2"/>
  <c r="M153" i="1"/>
  <c r="K209" i="2"/>
  <c r="K236" i="2"/>
  <c r="F194" i="2"/>
  <c r="F218" i="2"/>
  <c r="L144" i="1"/>
  <c r="K113" i="2"/>
  <c r="K118" i="2" s="1"/>
  <c r="K122" i="2" s="1"/>
  <c r="F151" i="2"/>
  <c r="F157" i="2" s="1"/>
  <c r="F137" i="2"/>
  <c r="F89" i="2"/>
  <c r="F97" i="2" s="1"/>
  <c r="F101" i="2" s="1"/>
  <c r="N54" i="1"/>
  <c r="K184" i="2"/>
  <c r="N58" i="1"/>
  <c r="K188" i="2"/>
  <c r="Q153" i="2"/>
  <c r="P158" i="2"/>
  <c r="P162" i="2" s="1"/>
  <c r="J34" i="1"/>
  <c r="G172" i="2"/>
  <c r="J37" i="1"/>
  <c r="G175" i="2"/>
  <c r="E141" i="2"/>
  <c r="O150" i="2"/>
  <c r="Q155" i="2"/>
  <c r="P159" i="2"/>
  <c r="P163" i="2" s="1"/>
  <c r="J38" i="1"/>
  <c r="G176" i="2"/>
  <c r="H66" i="1"/>
  <c r="F93" i="2"/>
  <c r="F133" i="2" s="1"/>
  <c r="U31" i="1"/>
  <c r="R169" i="2"/>
  <c r="J36" i="1"/>
  <c r="G174" i="2"/>
  <c r="L69" i="2"/>
  <c r="T51" i="1"/>
  <c r="Q181" i="2"/>
  <c r="H90" i="1"/>
  <c r="H119" i="1"/>
  <c r="H139" i="1" s="1"/>
  <c r="H159" i="1" s="1"/>
  <c r="H164" i="1" s="1"/>
  <c r="I22" i="1"/>
  <c r="I160" i="1" s="1"/>
  <c r="H62" i="1"/>
  <c r="G129" i="2" s="1"/>
  <c r="AE37" i="2"/>
  <c r="L141" i="1"/>
  <c r="H142" i="1"/>
  <c r="N47" i="1"/>
  <c r="N96" i="1" s="1"/>
  <c r="M114" i="2" s="1"/>
  <c r="I93" i="1"/>
  <c r="H111" i="2" s="1"/>
  <c r="I165" i="1"/>
  <c r="N48" i="1"/>
  <c r="M97" i="1"/>
  <c r="M92" i="1"/>
  <c r="L110" i="2" s="1"/>
  <c r="N46" i="1"/>
  <c r="M95" i="1"/>
  <c r="D62" i="5"/>
  <c r="M42" i="1"/>
  <c r="M91" i="1" s="1"/>
  <c r="L109" i="2" s="1"/>
  <c r="N45" i="1"/>
  <c r="N94" i="1" s="1"/>
  <c r="M112" i="2" s="1"/>
  <c r="K17" i="1"/>
  <c r="J44" i="1"/>
  <c r="I71" i="2" s="1"/>
  <c r="I77" i="2" s="1"/>
  <c r="J28" i="1"/>
  <c r="I135" i="2" s="1"/>
  <c r="J15" i="3"/>
  <c r="I19" i="3"/>
  <c r="K24" i="1"/>
  <c r="E60" i="2"/>
  <c r="E56" i="2"/>
  <c r="J130" i="2"/>
  <c r="K52" i="2"/>
  <c r="J64" i="1"/>
  <c r="I51" i="2"/>
  <c r="G53" i="2"/>
  <c r="F58" i="2"/>
  <c r="F62" i="2" s="1"/>
  <c r="J25" i="3"/>
  <c r="I23" i="3"/>
  <c r="D4" i="8"/>
  <c r="D70" i="8" s="1"/>
  <c r="D75" i="8" s="1"/>
  <c r="C77" i="5"/>
  <c r="K50" i="2"/>
  <c r="G55" i="2"/>
  <c r="F59" i="2"/>
  <c r="F63" i="2" s="1"/>
  <c r="L9" i="1"/>
  <c r="J4" i="5"/>
  <c r="I56" i="5"/>
  <c r="M315" i="1"/>
  <c r="I54" i="2"/>
  <c r="F57" i="2"/>
  <c r="F61" i="2" s="1"/>
  <c r="G49" i="2"/>
  <c r="G27" i="3"/>
  <c r="I20" i="4"/>
  <c r="J4" i="4"/>
  <c r="B245" i="2"/>
  <c r="C216" i="2"/>
  <c r="D216" i="2" s="1"/>
  <c r="E216" i="2" s="1"/>
  <c r="F216" i="2" s="1"/>
  <c r="G216" i="2" s="1"/>
  <c r="H216" i="2" s="1"/>
  <c r="I216" i="2" s="1"/>
  <c r="J216" i="2" s="1"/>
  <c r="K216" i="2" s="1"/>
  <c r="L216" i="2" s="1"/>
  <c r="M216" i="2" s="1"/>
  <c r="N216" i="2" s="1"/>
  <c r="O216" i="2" s="1"/>
  <c r="P216" i="2" s="1"/>
  <c r="Q216" i="2" s="1"/>
  <c r="R216" i="2" s="1"/>
  <c r="S216" i="2" s="1"/>
  <c r="T216" i="2" s="1"/>
  <c r="U216" i="2" s="1"/>
  <c r="V216" i="2" s="1"/>
  <c r="W216" i="2" s="1"/>
  <c r="X216" i="2" s="1"/>
  <c r="Y216" i="2" s="1"/>
  <c r="Z216" i="2" s="1"/>
  <c r="AA216" i="2" s="1"/>
  <c r="AB216" i="2" s="1"/>
  <c r="AC216" i="2" s="1"/>
  <c r="AD216" i="2" s="1"/>
  <c r="AE216" i="2" s="1"/>
  <c r="AF216" i="2" s="1"/>
  <c r="AG216" i="2" s="1"/>
  <c r="H86" i="5"/>
  <c r="G103" i="5" s="1"/>
  <c r="H70" i="5"/>
  <c r="H22" i="3"/>
  <c r="H13" i="3" s="1"/>
  <c r="J310" i="1"/>
  <c r="K301" i="1"/>
  <c r="K42" i="4"/>
  <c r="I61" i="1"/>
  <c r="J21" i="1"/>
  <c r="E21" i="2" l="1"/>
  <c r="E20" i="2" s="1"/>
  <c r="D21" i="2"/>
  <c r="D20" i="2" s="1"/>
  <c r="C21" i="2"/>
  <c r="C20" i="2" s="1"/>
  <c r="J21" i="2"/>
  <c r="H21" i="2"/>
  <c r="H20" i="2" s="1"/>
  <c r="G21" i="2"/>
  <c r="G20" i="2" s="1"/>
  <c r="F21" i="2"/>
  <c r="F20" i="2" s="1"/>
  <c r="I21" i="2"/>
  <c r="I20" i="2" s="1"/>
  <c r="I56" i="8"/>
  <c r="I47" i="8"/>
  <c r="G56" i="8"/>
  <c r="G47" i="8"/>
  <c r="D9" i="8"/>
  <c r="D18" i="8"/>
  <c r="D28" i="8" s="1"/>
  <c r="H56" i="8"/>
  <c r="H47" i="8"/>
  <c r="M56" i="8"/>
  <c r="M47" i="8"/>
  <c r="W56" i="8"/>
  <c r="W47" i="8"/>
  <c r="Q56" i="8"/>
  <c r="Q47" i="8"/>
  <c r="N56" i="8"/>
  <c r="N47" i="8"/>
  <c r="V56" i="8"/>
  <c r="V47" i="8"/>
  <c r="L56" i="8"/>
  <c r="L47" i="8"/>
  <c r="AF56" i="8"/>
  <c r="AF47" i="8"/>
  <c r="T56" i="8"/>
  <c r="T47" i="8"/>
  <c r="AA56" i="8"/>
  <c r="AA47" i="8"/>
  <c r="K56" i="8"/>
  <c r="K47" i="8"/>
  <c r="P56" i="8"/>
  <c r="P47" i="8"/>
  <c r="AB56" i="8"/>
  <c r="AB47" i="8"/>
  <c r="R56" i="8"/>
  <c r="R47" i="8"/>
  <c r="J56" i="8"/>
  <c r="J47" i="8"/>
  <c r="AG56" i="8"/>
  <c r="AG47" i="8"/>
  <c r="AD56" i="8"/>
  <c r="AD47" i="8"/>
  <c r="Q9" i="2"/>
  <c r="R25" i="2" s="1"/>
  <c r="F120" i="2"/>
  <c r="F124" i="2" s="1"/>
  <c r="E8" i="10"/>
  <c r="E4" i="8"/>
  <c r="E70" i="8" s="1"/>
  <c r="E75" i="8" s="1"/>
  <c r="D246" i="2"/>
  <c r="D280" i="2" s="1"/>
  <c r="F154" i="1"/>
  <c r="D210" i="2"/>
  <c r="D237" i="2"/>
  <c r="F152" i="1"/>
  <c r="D208" i="2"/>
  <c r="D235" i="2"/>
  <c r="F155" i="1"/>
  <c r="D211" i="2"/>
  <c r="D238" i="2"/>
  <c r="D234" i="2"/>
  <c r="F151" i="1"/>
  <c r="D207" i="2"/>
  <c r="D239" i="2"/>
  <c r="F156" i="1"/>
  <c r="D212" i="2"/>
  <c r="I222" i="1"/>
  <c r="Y291" i="1" s="1"/>
  <c r="Y290" i="1" s="1"/>
  <c r="Y298" i="1" s="1"/>
  <c r="W12" i="5" s="1"/>
  <c r="M9" i="1"/>
  <c r="C263" i="2"/>
  <c r="C267" i="2" s="1"/>
  <c r="C258" i="2"/>
  <c r="Q14" i="1"/>
  <c r="F29" i="3"/>
  <c r="F26" i="3" s="1"/>
  <c r="F30" i="3" s="1"/>
  <c r="L107" i="5" s="1"/>
  <c r="G121" i="2"/>
  <c r="H117" i="2"/>
  <c r="H121" i="2" s="1"/>
  <c r="H131" i="2"/>
  <c r="K189" i="2"/>
  <c r="N153" i="1"/>
  <c r="L236" i="2"/>
  <c r="L209" i="2"/>
  <c r="I130" i="1"/>
  <c r="G194" i="2"/>
  <c r="G218" i="2"/>
  <c r="M144" i="1"/>
  <c r="L113" i="2"/>
  <c r="L118" i="2" s="1"/>
  <c r="L122" i="2" s="1"/>
  <c r="M146" i="1"/>
  <c r="L115" i="2"/>
  <c r="L119" i="2" s="1"/>
  <c r="L123" i="2" s="1"/>
  <c r="V31" i="1"/>
  <c r="S169" i="2"/>
  <c r="K38" i="1"/>
  <c r="H176" i="2"/>
  <c r="G177" i="2"/>
  <c r="P53" i="1"/>
  <c r="M183" i="2"/>
  <c r="O55" i="1"/>
  <c r="L185" i="2"/>
  <c r="I81" i="2"/>
  <c r="I80" i="2" s="1"/>
  <c r="H252" i="2" s="1"/>
  <c r="I76" i="2"/>
  <c r="J133" i="1"/>
  <c r="H221" i="2"/>
  <c r="H197" i="2"/>
  <c r="G151" i="2"/>
  <c r="G157" i="2" s="1"/>
  <c r="K34" i="1"/>
  <c r="H172" i="2"/>
  <c r="O58" i="1"/>
  <c r="L188" i="2"/>
  <c r="U33" i="1"/>
  <c r="R171" i="2"/>
  <c r="K35" i="1"/>
  <c r="K75" i="1" s="1"/>
  <c r="H173" i="2"/>
  <c r="J122" i="1"/>
  <c r="I91" i="2"/>
  <c r="U150" i="1"/>
  <c r="S206" i="2"/>
  <c r="S233" i="2"/>
  <c r="G137" i="2"/>
  <c r="G89" i="2"/>
  <c r="G97" i="2" s="1"/>
  <c r="G101" i="2" s="1"/>
  <c r="U51" i="1"/>
  <c r="R181" i="2"/>
  <c r="K36" i="1"/>
  <c r="H174" i="2"/>
  <c r="I66" i="1"/>
  <c r="G93" i="2"/>
  <c r="G133" i="2" s="1"/>
  <c r="R155" i="2"/>
  <c r="Q159" i="2"/>
  <c r="Q163" i="2" s="1"/>
  <c r="P150" i="2"/>
  <c r="F141" i="2"/>
  <c r="X32" i="1"/>
  <c r="X72" i="1" s="1"/>
  <c r="U170" i="2"/>
  <c r="M69" i="2"/>
  <c r="K37" i="1"/>
  <c r="H175" i="2"/>
  <c r="R153" i="2"/>
  <c r="Q158" i="2"/>
  <c r="Q162" i="2" s="1"/>
  <c r="O54" i="1"/>
  <c r="L184" i="2"/>
  <c r="F161" i="2"/>
  <c r="F160" i="2" s="1"/>
  <c r="F156" i="2"/>
  <c r="O56" i="1"/>
  <c r="L186" i="2"/>
  <c r="V52" i="1"/>
  <c r="V101" i="1" s="1"/>
  <c r="S182" i="2"/>
  <c r="I68" i="1"/>
  <c r="G95" i="2"/>
  <c r="O57" i="1"/>
  <c r="L187" i="2"/>
  <c r="I90" i="1"/>
  <c r="I119" i="1"/>
  <c r="I139" i="1" s="1"/>
  <c r="I159" i="1" s="1"/>
  <c r="I164" i="1" s="1"/>
  <c r="I224" i="1"/>
  <c r="J22" i="1"/>
  <c r="J160" i="1" s="1"/>
  <c r="I62" i="1"/>
  <c r="H129" i="2" s="1"/>
  <c r="AF37" i="2"/>
  <c r="M141" i="1"/>
  <c r="I142" i="1"/>
  <c r="J93" i="1"/>
  <c r="I111" i="2" s="1"/>
  <c r="J165" i="1"/>
  <c r="N92" i="1"/>
  <c r="M110" i="2" s="1"/>
  <c r="O46" i="1"/>
  <c r="N95" i="1"/>
  <c r="O48" i="1"/>
  <c r="N97" i="1"/>
  <c r="O47" i="1"/>
  <c r="O96" i="1" s="1"/>
  <c r="N114" i="2" s="1"/>
  <c r="D77" i="5"/>
  <c r="N42" i="1"/>
  <c r="N91" i="1" s="1"/>
  <c r="M109" i="2" s="1"/>
  <c r="O45" i="1"/>
  <c r="O94" i="1" s="1"/>
  <c r="N112" i="2" s="1"/>
  <c r="L17" i="1"/>
  <c r="K44" i="1"/>
  <c r="J71" i="2" s="1"/>
  <c r="J77" i="2" s="1"/>
  <c r="C109" i="5"/>
  <c r="K28" i="1"/>
  <c r="J135" i="2" s="1"/>
  <c r="I22" i="3"/>
  <c r="I13" i="3" s="1"/>
  <c r="B257" i="2"/>
  <c r="C245" i="2"/>
  <c r="D245" i="2" s="1"/>
  <c r="E245" i="2" s="1"/>
  <c r="F245" i="2" s="1"/>
  <c r="G245" i="2" s="1"/>
  <c r="H245" i="2" s="1"/>
  <c r="I245" i="2" s="1"/>
  <c r="J245" i="2" s="1"/>
  <c r="K245" i="2" s="1"/>
  <c r="L245" i="2" s="1"/>
  <c r="M245" i="2" s="1"/>
  <c r="N245" i="2" s="1"/>
  <c r="O245" i="2" s="1"/>
  <c r="P245" i="2" s="1"/>
  <c r="Q245" i="2" s="1"/>
  <c r="R245" i="2" s="1"/>
  <c r="S245" i="2" s="1"/>
  <c r="T245" i="2" s="1"/>
  <c r="U245" i="2" s="1"/>
  <c r="V245" i="2" s="1"/>
  <c r="W245" i="2" s="1"/>
  <c r="X245" i="2" s="1"/>
  <c r="Y245" i="2" s="1"/>
  <c r="Z245" i="2" s="1"/>
  <c r="AA245" i="2" s="1"/>
  <c r="AB245" i="2" s="1"/>
  <c r="AC245" i="2" s="1"/>
  <c r="AD245" i="2" s="1"/>
  <c r="AE245" i="2" s="1"/>
  <c r="AF245" i="2" s="1"/>
  <c r="AG245" i="2" s="1"/>
  <c r="H27" i="3"/>
  <c r="N315" i="1"/>
  <c r="J51" i="2"/>
  <c r="K64" i="1"/>
  <c r="H53" i="2"/>
  <c r="G58" i="2"/>
  <c r="G62" i="2" s="1"/>
  <c r="L52" i="2"/>
  <c r="K130" i="2"/>
  <c r="L42" i="4"/>
  <c r="K43" i="4"/>
  <c r="K310" i="1"/>
  <c r="L301" i="1"/>
  <c r="J20" i="4"/>
  <c r="K4" i="4"/>
  <c r="H49" i="2"/>
  <c r="G57" i="2"/>
  <c r="G61" i="2" s="1"/>
  <c r="J54" i="2"/>
  <c r="I86" i="5"/>
  <c r="H103" i="5" s="1"/>
  <c r="I70" i="5"/>
  <c r="L50" i="2"/>
  <c r="K25" i="3"/>
  <c r="J23" i="3"/>
  <c r="J61" i="1"/>
  <c r="K21" i="1"/>
  <c r="F60" i="2"/>
  <c r="F56" i="2"/>
  <c r="K4" i="5"/>
  <c r="J56" i="5"/>
  <c r="H55" i="2"/>
  <c r="G59" i="2"/>
  <c r="G63" i="2" s="1"/>
  <c r="L24" i="1"/>
  <c r="K15" i="3"/>
  <c r="J19" i="3"/>
  <c r="K71" i="1" l="1"/>
  <c r="I217" i="2"/>
  <c r="AG61" i="8"/>
  <c r="R61" i="8"/>
  <c r="P61" i="8"/>
  <c r="AA61" i="8"/>
  <c r="AF61" i="8"/>
  <c r="V61" i="8"/>
  <c r="Q61" i="8"/>
  <c r="M61" i="8"/>
  <c r="I61" i="8"/>
  <c r="AD61" i="8"/>
  <c r="J61" i="8"/>
  <c r="AB61" i="8"/>
  <c r="K61" i="8"/>
  <c r="T61" i="8"/>
  <c r="L61" i="8"/>
  <c r="N61" i="8"/>
  <c r="W61" i="8"/>
  <c r="H61" i="8"/>
  <c r="G61" i="8"/>
  <c r="D23" i="8"/>
  <c r="D33" i="8" s="1"/>
  <c r="D42" i="8"/>
  <c r="E9" i="8"/>
  <c r="E18" i="8"/>
  <c r="E23" i="8" s="1"/>
  <c r="R9" i="2"/>
  <c r="S25" i="2" s="1"/>
  <c r="H120" i="2"/>
  <c r="H124" i="2" s="1"/>
  <c r="G120" i="2"/>
  <c r="G124" i="2" s="1"/>
  <c r="C3" i="13"/>
  <c r="E3" i="13" s="1"/>
  <c r="D3" i="13" s="1"/>
  <c r="F3" i="13" s="1"/>
  <c r="F126" i="2"/>
  <c r="F125" i="2"/>
  <c r="E246" i="2"/>
  <c r="E280" i="2" s="1"/>
  <c r="G105" i="1"/>
  <c r="G107" i="1"/>
  <c r="G102" i="1"/>
  <c r="G103" i="1"/>
  <c r="G106" i="1"/>
  <c r="J20" i="2"/>
  <c r="AD291" i="1"/>
  <c r="AD290" i="1" s="1"/>
  <c r="AD298" i="1" s="1"/>
  <c r="AB12" i="5" s="1"/>
  <c r="AB62" i="5" s="1"/>
  <c r="T291" i="1"/>
  <c r="U29" i="2" s="1"/>
  <c r="N9" i="1"/>
  <c r="D263" i="2"/>
  <c r="D267" i="2" s="1"/>
  <c r="D258" i="2"/>
  <c r="W92" i="5"/>
  <c r="W62" i="5"/>
  <c r="R14" i="1"/>
  <c r="G29" i="3"/>
  <c r="G26" i="3" s="1"/>
  <c r="G30" i="3" s="1"/>
  <c r="M107" i="5" s="1"/>
  <c r="H116" i="2"/>
  <c r="I117" i="2"/>
  <c r="I116" i="2" s="1"/>
  <c r="I131" i="2"/>
  <c r="L189" i="2"/>
  <c r="K122" i="1"/>
  <c r="J91" i="2"/>
  <c r="K133" i="1"/>
  <c r="I197" i="2"/>
  <c r="I221" i="2"/>
  <c r="J130" i="1"/>
  <c r="H194" i="2"/>
  <c r="H218" i="2"/>
  <c r="J68" i="1"/>
  <c r="H95" i="2"/>
  <c r="P56" i="1"/>
  <c r="M186" i="2"/>
  <c r="S153" i="2"/>
  <c r="R158" i="2"/>
  <c r="R162" i="2" s="1"/>
  <c r="S155" i="2"/>
  <c r="R159" i="2"/>
  <c r="R163" i="2" s="1"/>
  <c r="L36" i="1"/>
  <c r="I174" i="2"/>
  <c r="G141" i="2"/>
  <c r="L35" i="1"/>
  <c r="I173" i="2"/>
  <c r="P58" i="1"/>
  <c r="M188" i="2"/>
  <c r="G161" i="2"/>
  <c r="G160" i="2" s="1"/>
  <c r="G156" i="2"/>
  <c r="W31" i="1"/>
  <c r="T169" i="2"/>
  <c r="O153" i="1"/>
  <c r="M209" i="2"/>
  <c r="M236" i="2"/>
  <c r="N146" i="1"/>
  <c r="M115" i="2"/>
  <c r="M119" i="2" s="1"/>
  <c r="M123" i="2" s="1"/>
  <c r="H151" i="2"/>
  <c r="H157" i="2" s="1"/>
  <c r="H137" i="2"/>
  <c r="H89" i="2"/>
  <c r="H97" i="2" s="1"/>
  <c r="H101" i="2" s="1"/>
  <c r="N69" i="2"/>
  <c r="H177" i="2"/>
  <c r="P55" i="1"/>
  <c r="M185" i="2"/>
  <c r="J81" i="2"/>
  <c r="J80" i="2" s="1"/>
  <c r="I252" i="2" s="1"/>
  <c r="J76" i="2"/>
  <c r="P57" i="1"/>
  <c r="M187" i="2"/>
  <c r="W52" i="1"/>
  <c r="W101" i="1" s="1"/>
  <c r="T182" i="2"/>
  <c r="P54" i="1"/>
  <c r="M184" i="2"/>
  <c r="L37" i="1"/>
  <c r="I175" i="2"/>
  <c r="Y32" i="1"/>
  <c r="Y72" i="1" s="1"/>
  <c r="V170" i="2"/>
  <c r="Q150" i="2"/>
  <c r="J66" i="1"/>
  <c r="H93" i="2"/>
  <c r="H133" i="2" s="1"/>
  <c r="V51" i="1"/>
  <c r="S181" i="2"/>
  <c r="V33" i="1"/>
  <c r="S171" i="2"/>
  <c r="L34" i="1"/>
  <c r="I172" i="2"/>
  <c r="L38" i="1"/>
  <c r="I176" i="2"/>
  <c r="V150" i="1"/>
  <c r="T206" i="2"/>
  <c r="T233" i="2"/>
  <c r="N144" i="1"/>
  <c r="M113" i="2"/>
  <c r="M118" i="2" s="1"/>
  <c r="M122" i="2" s="1"/>
  <c r="Q53" i="1"/>
  <c r="N183" i="2"/>
  <c r="J90" i="1"/>
  <c r="J119" i="1"/>
  <c r="J139" i="1" s="1"/>
  <c r="J159" i="1" s="1"/>
  <c r="J164" i="1" s="1"/>
  <c r="K22" i="1"/>
  <c r="K160" i="1" s="1"/>
  <c r="J62" i="1"/>
  <c r="I129" i="2" s="1"/>
  <c r="I4" i="2"/>
  <c r="Z38" i="4"/>
  <c r="AG37" i="2"/>
  <c r="N141" i="1"/>
  <c r="J142" i="1"/>
  <c r="P47" i="1"/>
  <c r="P96" i="1" s="1"/>
  <c r="O114" i="2" s="1"/>
  <c r="P46" i="1"/>
  <c r="O95" i="1"/>
  <c r="P48" i="1"/>
  <c r="O97" i="1"/>
  <c r="K93" i="1"/>
  <c r="J111" i="2" s="1"/>
  <c r="K165" i="1"/>
  <c r="O92" i="1"/>
  <c r="N110" i="2" s="1"/>
  <c r="O42" i="1"/>
  <c r="O91" i="1" s="1"/>
  <c r="N109" i="2" s="1"/>
  <c r="P45" i="1"/>
  <c r="P94" i="1" s="1"/>
  <c r="O112" i="2" s="1"/>
  <c r="M17" i="1"/>
  <c r="L44" i="1"/>
  <c r="K71" i="2" s="1"/>
  <c r="K77" i="2" s="1"/>
  <c r="B52" i="6"/>
  <c r="L28" i="1"/>
  <c r="K135" i="2" s="1"/>
  <c r="L15" i="3"/>
  <c r="K19" i="3"/>
  <c r="B11" i="5"/>
  <c r="M24" i="1"/>
  <c r="M50" i="2"/>
  <c r="K54" i="2"/>
  <c r="K20" i="4"/>
  <c r="L4" i="4"/>
  <c r="M52" i="2"/>
  <c r="O315" i="1"/>
  <c r="I55" i="2"/>
  <c r="H59" i="2"/>
  <c r="H63" i="2" s="1"/>
  <c r="K51" i="2"/>
  <c r="L64" i="1"/>
  <c r="J86" i="5"/>
  <c r="I103" i="5" s="1"/>
  <c r="J70" i="5"/>
  <c r="L25" i="3"/>
  <c r="K23" i="3"/>
  <c r="L310" i="1"/>
  <c r="M301" i="1"/>
  <c r="L43" i="4"/>
  <c r="M42" i="4"/>
  <c r="I27" i="3"/>
  <c r="K61" i="1"/>
  <c r="L21" i="1"/>
  <c r="H57" i="2"/>
  <c r="H61" i="2" s="1"/>
  <c r="I49" i="2"/>
  <c r="K56" i="5"/>
  <c r="L4" i="5"/>
  <c r="G60" i="2"/>
  <c r="G56" i="2"/>
  <c r="L130" i="2"/>
  <c r="I53" i="2"/>
  <c r="H58" i="2"/>
  <c r="H62" i="2" s="1"/>
  <c r="B274" i="2"/>
  <c r="C257" i="2"/>
  <c r="J22" i="3"/>
  <c r="J13" i="3" s="1"/>
  <c r="I193" i="2" l="1"/>
  <c r="K129" i="1"/>
  <c r="L75" i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E33" i="8"/>
  <c r="E28" i="8"/>
  <c r="H103" i="1"/>
  <c r="D56" i="8"/>
  <c r="D47" i="8"/>
  <c r="E42" i="8"/>
  <c r="S9" i="2"/>
  <c r="T25" i="2" s="1"/>
  <c r="C4" i="13"/>
  <c r="E4" i="13" s="1"/>
  <c r="G126" i="2"/>
  <c r="G125" i="2"/>
  <c r="C5" i="13"/>
  <c r="H125" i="2"/>
  <c r="H126" i="2"/>
  <c r="L71" i="1"/>
  <c r="L129" i="1" s="1"/>
  <c r="X4" i="8"/>
  <c r="X70" i="8" s="1"/>
  <c r="X75" i="8" s="1"/>
  <c r="AC4" i="8"/>
  <c r="AC70" i="8" s="1"/>
  <c r="AC75" i="8" s="1"/>
  <c r="E211" i="2"/>
  <c r="E238" i="2"/>
  <c r="G155" i="1"/>
  <c r="G154" i="1"/>
  <c r="E210" i="2"/>
  <c r="E237" i="2"/>
  <c r="G152" i="1"/>
  <c r="E208" i="2"/>
  <c r="E235" i="2"/>
  <c r="F246" i="2"/>
  <c r="F280" i="2" s="1"/>
  <c r="H107" i="1"/>
  <c r="H102" i="1"/>
  <c r="H106" i="1"/>
  <c r="H105" i="1"/>
  <c r="E234" i="2"/>
  <c r="G151" i="1"/>
  <c r="E207" i="2"/>
  <c r="E239" i="2"/>
  <c r="G156" i="1"/>
  <c r="E212" i="2"/>
  <c r="AB92" i="5"/>
  <c r="X29" i="2"/>
  <c r="AD29" i="2"/>
  <c r="T290" i="1"/>
  <c r="T298" i="1" s="1"/>
  <c r="R12" i="5" s="1"/>
  <c r="R92" i="5" s="1"/>
  <c r="AB29" i="2"/>
  <c r="W29" i="2"/>
  <c r="AA29" i="2"/>
  <c r="AE38" i="4"/>
  <c r="AE41" i="4" s="1"/>
  <c r="Y29" i="2"/>
  <c r="AE29" i="2"/>
  <c r="AF29" i="2"/>
  <c r="Z29" i="2"/>
  <c r="T29" i="2"/>
  <c r="AC29" i="2"/>
  <c r="V29" i="2"/>
  <c r="O9" i="1"/>
  <c r="E263" i="2"/>
  <c r="E267" i="2" s="1"/>
  <c r="E258" i="2"/>
  <c r="AA109" i="5"/>
  <c r="AB77" i="5"/>
  <c r="W77" i="5"/>
  <c r="V109" i="5"/>
  <c r="S14" i="1"/>
  <c r="H29" i="3"/>
  <c r="H26" i="3" s="1"/>
  <c r="H30" i="3" s="1"/>
  <c r="N107" i="5" s="1"/>
  <c r="J117" i="2"/>
  <c r="J116" i="2" s="1"/>
  <c r="I121" i="2"/>
  <c r="M189" i="2"/>
  <c r="J131" i="2"/>
  <c r="P153" i="1"/>
  <c r="N209" i="2"/>
  <c r="N236" i="2"/>
  <c r="K130" i="1"/>
  <c r="I218" i="2"/>
  <c r="I194" i="2"/>
  <c r="R53" i="1"/>
  <c r="O183" i="2"/>
  <c r="M38" i="1"/>
  <c r="J176" i="2"/>
  <c r="M34" i="1"/>
  <c r="J172" i="2"/>
  <c r="H141" i="2"/>
  <c r="K81" i="2"/>
  <c r="K80" i="2" s="1"/>
  <c r="J252" i="2" s="1"/>
  <c r="K76" i="2"/>
  <c r="O146" i="1"/>
  <c r="N115" i="2"/>
  <c r="N119" i="2" s="1"/>
  <c r="N123" i="2" s="1"/>
  <c r="W51" i="1"/>
  <c r="T181" i="2"/>
  <c r="R150" i="2"/>
  <c r="M37" i="1"/>
  <c r="J175" i="2"/>
  <c r="X52" i="1"/>
  <c r="X101" i="1" s="1"/>
  <c r="U182" i="2"/>
  <c r="O69" i="2"/>
  <c r="H161" i="2"/>
  <c r="H160" i="2" s="1"/>
  <c r="H156" i="2"/>
  <c r="M35" i="1"/>
  <c r="J173" i="2"/>
  <c r="M36" i="1"/>
  <c r="J174" i="2"/>
  <c r="T153" i="2"/>
  <c r="S158" i="2"/>
  <c r="S162" i="2" s="1"/>
  <c r="K68" i="1"/>
  <c r="I95" i="2"/>
  <c r="W150" i="1"/>
  <c r="U233" i="2"/>
  <c r="U206" i="2"/>
  <c r="I151" i="2"/>
  <c r="I157" i="2" s="1"/>
  <c r="W33" i="1"/>
  <c r="T171" i="2"/>
  <c r="Q55" i="1"/>
  <c r="N185" i="2"/>
  <c r="L122" i="1"/>
  <c r="K91" i="2"/>
  <c r="O144" i="1"/>
  <c r="N113" i="2"/>
  <c r="N118" i="2" s="1"/>
  <c r="N122" i="2" s="1"/>
  <c r="I137" i="2"/>
  <c r="I89" i="2"/>
  <c r="I97" i="2" s="1"/>
  <c r="I101" i="2" s="1"/>
  <c r="I177" i="2"/>
  <c r="K66" i="1"/>
  <c r="I93" i="2"/>
  <c r="I133" i="2" s="1"/>
  <c r="Z32" i="1"/>
  <c r="Z72" i="1" s="1"/>
  <c r="W170" i="2"/>
  <c r="Q54" i="1"/>
  <c r="N184" i="2"/>
  <c r="Q57" i="1"/>
  <c r="N187" i="2"/>
  <c r="X31" i="1"/>
  <c r="U169" i="2"/>
  <c r="Q58" i="1"/>
  <c r="N188" i="2"/>
  <c r="T155" i="2"/>
  <c r="S159" i="2"/>
  <c r="S163" i="2" s="1"/>
  <c r="Q56" i="1"/>
  <c r="N186" i="2"/>
  <c r="J217" i="2"/>
  <c r="AG29" i="2"/>
  <c r="K90" i="1"/>
  <c r="K119" i="1"/>
  <c r="K139" i="1" s="1"/>
  <c r="K159" i="1" s="1"/>
  <c r="K164" i="1" s="1"/>
  <c r="L22" i="1"/>
  <c r="L160" i="1" s="1"/>
  <c r="K62" i="1"/>
  <c r="J129" i="2" s="1"/>
  <c r="Z39" i="4"/>
  <c r="Z41" i="4"/>
  <c r="Y62" i="5"/>
  <c r="Y92" i="5"/>
  <c r="J5" i="2"/>
  <c r="K21" i="2" s="1"/>
  <c r="K20" i="2" s="1"/>
  <c r="M71" i="1" s="1"/>
  <c r="K193" i="2" s="1"/>
  <c r="AD92" i="5"/>
  <c r="AD62" i="5"/>
  <c r="O141" i="1"/>
  <c r="K142" i="1"/>
  <c r="Q46" i="1"/>
  <c r="P95" i="1"/>
  <c r="P92" i="1"/>
  <c r="O110" i="2" s="1"/>
  <c r="Q48" i="1"/>
  <c r="P97" i="1"/>
  <c r="L93" i="1"/>
  <c r="K111" i="2" s="1"/>
  <c r="L165" i="1"/>
  <c r="Q47" i="1"/>
  <c r="Q96" i="1" s="1"/>
  <c r="P114" i="2" s="1"/>
  <c r="P42" i="1"/>
  <c r="P91" i="1" s="1"/>
  <c r="O109" i="2" s="1"/>
  <c r="Q45" i="1"/>
  <c r="Q94" i="1" s="1"/>
  <c r="P112" i="2" s="1"/>
  <c r="N17" i="1"/>
  <c r="M44" i="1"/>
  <c r="L71" i="2" s="1"/>
  <c r="L77" i="2" s="1"/>
  <c r="M28" i="1"/>
  <c r="L135" i="2" s="1"/>
  <c r="L54" i="2"/>
  <c r="M130" i="2"/>
  <c r="K70" i="5"/>
  <c r="K86" i="5"/>
  <c r="J103" i="5" s="1"/>
  <c r="M43" i="4"/>
  <c r="N42" i="4"/>
  <c r="N24" i="1"/>
  <c r="I57" i="2"/>
  <c r="I61" i="2" s="1"/>
  <c r="J49" i="2"/>
  <c r="J27" i="3"/>
  <c r="N301" i="1"/>
  <c r="M310" i="1"/>
  <c r="P315" i="1"/>
  <c r="N52" i="2"/>
  <c r="L20" i="4"/>
  <c r="M4" i="4"/>
  <c r="C274" i="2"/>
  <c r="D257" i="2"/>
  <c r="K22" i="3"/>
  <c r="K13" i="3" s="1"/>
  <c r="J53" i="2"/>
  <c r="I58" i="2"/>
  <c r="I62" i="2" s="1"/>
  <c r="L56" i="5"/>
  <c r="M4" i="5"/>
  <c r="H60" i="2"/>
  <c r="H56" i="2"/>
  <c r="M21" i="1"/>
  <c r="L61" i="1"/>
  <c r="M25" i="3"/>
  <c r="L23" i="3"/>
  <c r="J55" i="2"/>
  <c r="I59" i="2"/>
  <c r="I63" i="2" s="1"/>
  <c r="N50" i="2"/>
  <c r="L51" i="2"/>
  <c r="M64" i="1"/>
  <c r="M15" i="3"/>
  <c r="L19" i="3"/>
  <c r="K217" i="2" l="1"/>
  <c r="I105" i="1"/>
  <c r="I103" i="1"/>
  <c r="I102" i="1"/>
  <c r="D61" i="8"/>
  <c r="I106" i="1"/>
  <c r="AC9" i="8"/>
  <c r="AC18" i="8"/>
  <c r="E56" i="8"/>
  <c r="E47" i="8"/>
  <c r="X9" i="8"/>
  <c r="X18" i="8"/>
  <c r="T9" i="2"/>
  <c r="U25" i="2" s="1"/>
  <c r="I120" i="2"/>
  <c r="I124" i="2" s="1"/>
  <c r="E5" i="13"/>
  <c r="D5" i="13" s="1"/>
  <c r="F5" i="13" s="1"/>
  <c r="D4" i="13"/>
  <c r="F4" i="13" s="1"/>
  <c r="J193" i="2"/>
  <c r="M129" i="1"/>
  <c r="AE4" i="8"/>
  <c r="AE70" i="8" s="1"/>
  <c r="AE75" i="8" s="1"/>
  <c r="Z4" i="8"/>
  <c r="Z70" i="8" s="1"/>
  <c r="Z75" i="8" s="1"/>
  <c r="J221" i="2"/>
  <c r="J197" i="2"/>
  <c r="L133" i="1"/>
  <c r="G246" i="2"/>
  <c r="G280" i="2" s="1"/>
  <c r="F211" i="2"/>
  <c r="F238" i="2"/>
  <c r="H155" i="1"/>
  <c r="I107" i="1"/>
  <c r="F234" i="2"/>
  <c r="F207" i="2"/>
  <c r="H151" i="1"/>
  <c r="H156" i="1"/>
  <c r="F212" i="2"/>
  <c r="F239" i="2"/>
  <c r="F210" i="2"/>
  <c r="F237" i="2"/>
  <c r="H154" i="1"/>
  <c r="F235" i="2"/>
  <c r="H152" i="1"/>
  <c r="F208" i="2"/>
  <c r="D18" i="5"/>
  <c r="AE39" i="4"/>
  <c r="R62" i="5"/>
  <c r="U38" i="4"/>
  <c r="U41" i="4" s="1"/>
  <c r="F263" i="2"/>
  <c r="F267" i="2" s="1"/>
  <c r="F258" i="2"/>
  <c r="P9" i="1"/>
  <c r="T14" i="1"/>
  <c r="I29" i="3"/>
  <c r="I26" i="3" s="1"/>
  <c r="I30" i="3" s="1"/>
  <c r="O107" i="5" s="1"/>
  <c r="J121" i="2"/>
  <c r="K117" i="2"/>
  <c r="K116" i="2" s="1"/>
  <c r="K131" i="2"/>
  <c r="N189" i="2"/>
  <c r="M122" i="1"/>
  <c r="L91" i="2"/>
  <c r="M133" i="1"/>
  <c r="K197" i="2"/>
  <c r="K221" i="2"/>
  <c r="X150" i="1"/>
  <c r="V206" i="2"/>
  <c r="V233" i="2"/>
  <c r="P146" i="1"/>
  <c r="O115" i="2"/>
  <c r="O119" i="2" s="1"/>
  <c r="O123" i="2" s="1"/>
  <c r="P144" i="1"/>
  <c r="O113" i="2"/>
  <c r="O118" i="2" s="1"/>
  <c r="O122" i="2" s="1"/>
  <c r="U155" i="2"/>
  <c r="T159" i="2"/>
  <c r="T163" i="2" s="1"/>
  <c r="Y31" i="1"/>
  <c r="V169" i="2"/>
  <c r="R54" i="1"/>
  <c r="O184" i="2"/>
  <c r="L66" i="1"/>
  <c r="J93" i="2"/>
  <c r="J133" i="2" s="1"/>
  <c r="I141" i="2"/>
  <c r="R55" i="1"/>
  <c r="O185" i="2"/>
  <c r="U153" i="2"/>
  <c r="T158" i="2"/>
  <c r="T162" i="2" s="1"/>
  <c r="N35" i="1"/>
  <c r="K173" i="2"/>
  <c r="P69" i="2"/>
  <c r="N37" i="1"/>
  <c r="K175" i="2"/>
  <c r="X51" i="1"/>
  <c r="U181" i="2"/>
  <c r="N34" i="1"/>
  <c r="K172" i="2"/>
  <c r="S53" i="1"/>
  <c r="P183" i="2"/>
  <c r="L81" i="2"/>
  <c r="L80" i="2" s="1"/>
  <c r="K252" i="2" s="1"/>
  <c r="L76" i="2"/>
  <c r="L130" i="1"/>
  <c r="J194" i="2"/>
  <c r="J218" i="2"/>
  <c r="J151" i="2"/>
  <c r="J157" i="2" s="1"/>
  <c r="J137" i="2"/>
  <c r="J89" i="2"/>
  <c r="J97" i="2" s="1"/>
  <c r="J101" i="2" s="1"/>
  <c r="R56" i="1"/>
  <c r="O186" i="2"/>
  <c r="R58" i="1"/>
  <c r="O188" i="2"/>
  <c r="R57" i="1"/>
  <c r="O187" i="2"/>
  <c r="AA32" i="1"/>
  <c r="AA72" i="1" s="1"/>
  <c r="X170" i="2"/>
  <c r="X33" i="1"/>
  <c r="U171" i="2"/>
  <c r="L68" i="1"/>
  <c r="J95" i="2"/>
  <c r="N36" i="1"/>
  <c r="K174" i="2"/>
  <c r="Y52" i="1"/>
  <c r="Y101" i="1" s="1"/>
  <c r="V182" i="2"/>
  <c r="S150" i="2"/>
  <c r="N38" i="1"/>
  <c r="K176" i="2"/>
  <c r="Q153" i="1"/>
  <c r="O209" i="2"/>
  <c r="O236" i="2"/>
  <c r="I161" i="2"/>
  <c r="I160" i="2" s="1"/>
  <c r="I156" i="2"/>
  <c r="J177" i="2"/>
  <c r="AC109" i="5"/>
  <c r="AD77" i="5"/>
  <c r="Y77" i="5"/>
  <c r="X109" i="5"/>
  <c r="L90" i="1"/>
  <c r="L119" i="1"/>
  <c r="L139" i="1" s="1"/>
  <c r="L159" i="1" s="1"/>
  <c r="L164" i="1" s="1"/>
  <c r="J4" i="2"/>
  <c r="K5" i="2"/>
  <c r="L21" i="2" s="1"/>
  <c r="L20" i="2" s="1"/>
  <c r="M22" i="1"/>
  <c r="M160" i="1" s="1"/>
  <c r="L62" i="1"/>
  <c r="K129" i="2" s="1"/>
  <c r="T62" i="5"/>
  <c r="T92" i="5"/>
  <c r="P141" i="1"/>
  <c r="L142" i="1"/>
  <c r="R48" i="1"/>
  <c r="Q97" i="1"/>
  <c r="R47" i="1"/>
  <c r="R96" i="1" s="1"/>
  <c r="Q114" i="2" s="1"/>
  <c r="Q92" i="1"/>
  <c r="P110" i="2" s="1"/>
  <c r="M93" i="1"/>
  <c r="L111" i="2" s="1"/>
  <c r="M165" i="1"/>
  <c r="R46" i="1"/>
  <c r="Q95" i="1"/>
  <c r="Q42" i="1"/>
  <c r="Q91" i="1" s="1"/>
  <c r="P109" i="2" s="1"/>
  <c r="R45" i="1"/>
  <c r="R94" i="1" s="1"/>
  <c r="Q112" i="2" s="1"/>
  <c r="O17" i="1"/>
  <c r="N44" i="1"/>
  <c r="M71" i="2" s="1"/>
  <c r="M77" i="2" s="1"/>
  <c r="N28" i="1"/>
  <c r="M135" i="2" s="1"/>
  <c r="D274" i="2"/>
  <c r="E257" i="2"/>
  <c r="N43" i="4"/>
  <c r="O42" i="4"/>
  <c r="P42" i="4" s="1"/>
  <c r="O38" i="4"/>
  <c r="O52" i="2"/>
  <c r="N310" i="1"/>
  <c r="O301" i="1"/>
  <c r="N130" i="2"/>
  <c r="M61" i="1"/>
  <c r="N21" i="1"/>
  <c r="L86" i="5"/>
  <c r="K103" i="5" s="1"/>
  <c r="L70" i="5"/>
  <c r="O50" i="2"/>
  <c r="N25" i="3"/>
  <c r="M23" i="3"/>
  <c r="L22" i="3"/>
  <c r="L13" i="3" s="1"/>
  <c r="J57" i="2"/>
  <c r="J61" i="2" s="1"/>
  <c r="K49" i="2"/>
  <c r="O24" i="1"/>
  <c r="K53" i="2"/>
  <c r="J58" i="2"/>
  <c r="J62" i="2" s="1"/>
  <c r="N15" i="3"/>
  <c r="M19" i="3"/>
  <c r="K55" i="2"/>
  <c r="J59" i="2"/>
  <c r="J63" i="2" s="1"/>
  <c r="N4" i="5"/>
  <c r="M56" i="5"/>
  <c r="M20" i="4"/>
  <c r="N4" i="4"/>
  <c r="Q315" i="1"/>
  <c r="K27" i="3"/>
  <c r="I60" i="2"/>
  <c r="I56" i="2"/>
  <c r="N64" i="1"/>
  <c r="M51" i="2"/>
  <c r="Y38" i="4"/>
  <c r="M54" i="2"/>
  <c r="J105" i="1" l="1"/>
  <c r="J103" i="1"/>
  <c r="E61" i="8"/>
  <c r="X23" i="8"/>
  <c r="X33" i="8" s="1"/>
  <c r="X28" i="8"/>
  <c r="AC23" i="8"/>
  <c r="AC33" i="8" s="1"/>
  <c r="AC28" i="8"/>
  <c r="J106" i="1"/>
  <c r="X42" i="8"/>
  <c r="X56" i="8" s="1"/>
  <c r="AC42" i="8"/>
  <c r="AE9" i="8"/>
  <c r="AE18" i="8"/>
  <c r="Z9" i="8"/>
  <c r="Z18" i="8"/>
  <c r="N71" i="1"/>
  <c r="L217" i="2"/>
  <c r="U9" i="2"/>
  <c r="V25" i="2" s="1"/>
  <c r="J120" i="2"/>
  <c r="J124" i="2" s="1"/>
  <c r="C6" i="13"/>
  <c r="E6" i="13" s="1"/>
  <c r="D6" i="13" s="1"/>
  <c r="F6" i="13" s="1"/>
  <c r="I126" i="2"/>
  <c r="I125" i="2"/>
  <c r="U4" i="8"/>
  <c r="U70" i="8" s="1"/>
  <c r="U75" i="8" s="1"/>
  <c r="R77" i="5"/>
  <c r="S4" i="8"/>
  <c r="J102" i="1"/>
  <c r="J107" i="1"/>
  <c r="I151" i="1"/>
  <c r="G207" i="2"/>
  <c r="G234" i="2"/>
  <c r="H246" i="2"/>
  <c r="H280" i="2" s="1"/>
  <c r="I155" i="1"/>
  <c r="G211" i="2"/>
  <c r="G238" i="2"/>
  <c r="G208" i="2"/>
  <c r="I152" i="1"/>
  <c r="G235" i="2"/>
  <c r="G212" i="2"/>
  <c r="I156" i="1"/>
  <c r="G239" i="2"/>
  <c r="I154" i="1"/>
  <c r="G210" i="2"/>
  <c r="G237" i="2"/>
  <c r="Q109" i="5"/>
  <c r="U39" i="4"/>
  <c r="G263" i="2"/>
  <c r="G267" i="2" s="1"/>
  <c r="G258" i="2"/>
  <c r="Q9" i="1"/>
  <c r="U14" i="1"/>
  <c r="J29" i="3"/>
  <c r="J26" i="3" s="1"/>
  <c r="J30" i="3" s="1"/>
  <c r="P107" i="5" s="1"/>
  <c r="K121" i="2"/>
  <c r="L117" i="2"/>
  <c r="L121" i="2" s="1"/>
  <c r="L131" i="2"/>
  <c r="O189" i="2"/>
  <c r="M130" i="1"/>
  <c r="K194" i="2"/>
  <c r="K218" i="2"/>
  <c r="Q146" i="1"/>
  <c r="P115" i="2"/>
  <c r="P119" i="2" s="1"/>
  <c r="P123" i="2" s="1"/>
  <c r="K177" i="2"/>
  <c r="M81" i="2"/>
  <c r="M80" i="2" s="1"/>
  <c r="L252" i="2" s="1"/>
  <c r="M76" i="2"/>
  <c r="N133" i="1"/>
  <c r="L221" i="2"/>
  <c r="L197" i="2"/>
  <c r="Q144" i="1"/>
  <c r="P113" i="2"/>
  <c r="P118" i="2" s="1"/>
  <c r="P122" i="2" s="1"/>
  <c r="T150" i="2"/>
  <c r="O36" i="1"/>
  <c r="L174" i="2"/>
  <c r="Y33" i="1"/>
  <c r="V171" i="2"/>
  <c r="S57" i="1"/>
  <c r="P187" i="2"/>
  <c r="S56" i="1"/>
  <c r="P186" i="2"/>
  <c r="J161" i="2"/>
  <c r="J160" i="2" s="1"/>
  <c r="J156" i="2"/>
  <c r="O34" i="1"/>
  <c r="L172" i="2"/>
  <c r="O37" i="1"/>
  <c r="L175" i="2"/>
  <c r="O35" i="1"/>
  <c r="L173" i="2"/>
  <c r="S55" i="1"/>
  <c r="P185" i="2"/>
  <c r="M66" i="1"/>
  <c r="K93" i="2"/>
  <c r="K133" i="2" s="1"/>
  <c r="Z31" i="1"/>
  <c r="W169" i="2"/>
  <c r="N122" i="1"/>
  <c r="M91" i="2"/>
  <c r="R153" i="1"/>
  <c r="P236" i="2"/>
  <c r="P209" i="2"/>
  <c r="Y150" i="1"/>
  <c r="W206" i="2"/>
  <c r="W233" i="2"/>
  <c r="K151" i="2"/>
  <c r="K157" i="2" s="1"/>
  <c r="K137" i="2"/>
  <c r="K89" i="2"/>
  <c r="K97" i="2" s="1"/>
  <c r="K101" i="2" s="1"/>
  <c r="O38" i="1"/>
  <c r="L176" i="2"/>
  <c r="Z52" i="1"/>
  <c r="Z101" i="1" s="1"/>
  <c r="W182" i="2"/>
  <c r="M68" i="1"/>
  <c r="K95" i="2"/>
  <c r="AB32" i="1"/>
  <c r="AB72" i="1" s="1"/>
  <c r="Y170" i="2"/>
  <c r="S58" i="1"/>
  <c r="P188" i="2"/>
  <c r="J141" i="2"/>
  <c r="T53" i="1"/>
  <c r="Q183" i="2"/>
  <c r="Y51" i="1"/>
  <c r="V181" i="2"/>
  <c r="Q69" i="2"/>
  <c r="V153" i="2"/>
  <c r="U158" i="2"/>
  <c r="U162" i="2" s="1"/>
  <c r="S54" i="1"/>
  <c r="P184" i="2"/>
  <c r="V155" i="2"/>
  <c r="U159" i="2"/>
  <c r="U163" i="2" s="1"/>
  <c r="M90" i="1"/>
  <c r="M119" i="1"/>
  <c r="M139" i="1" s="1"/>
  <c r="M159" i="1" s="1"/>
  <c r="M164" i="1" s="1"/>
  <c r="L5" i="2"/>
  <c r="M21" i="2" s="1"/>
  <c r="M20" i="2" s="1"/>
  <c r="K4" i="2"/>
  <c r="N22" i="1"/>
  <c r="N160" i="1" s="1"/>
  <c r="M62" i="1"/>
  <c r="L129" i="2" s="1"/>
  <c r="T77" i="5"/>
  <c r="S109" i="5"/>
  <c r="Q141" i="1"/>
  <c r="M142" i="1"/>
  <c r="S46" i="1"/>
  <c r="R95" i="1"/>
  <c r="S48" i="1"/>
  <c r="R97" i="1"/>
  <c r="S47" i="1"/>
  <c r="S96" i="1" s="1"/>
  <c r="R114" i="2" s="1"/>
  <c r="R92" i="1"/>
  <c r="Q110" i="2" s="1"/>
  <c r="N93" i="1"/>
  <c r="M111" i="2" s="1"/>
  <c r="N165" i="1"/>
  <c r="R42" i="1"/>
  <c r="R91" i="1" s="1"/>
  <c r="Q109" i="2" s="1"/>
  <c r="S45" i="1"/>
  <c r="S94" i="1" s="1"/>
  <c r="R112" i="2" s="1"/>
  <c r="P17" i="1"/>
  <c r="O44" i="1"/>
  <c r="N71" i="2" s="1"/>
  <c r="N77" i="2" s="1"/>
  <c r="O28" i="1"/>
  <c r="N135" i="2" s="1"/>
  <c r="N20" i="4"/>
  <c r="O4" i="4"/>
  <c r="M86" i="5"/>
  <c r="L103" i="5" s="1"/>
  <c r="M70" i="5"/>
  <c r="P24" i="1"/>
  <c r="R315" i="1"/>
  <c r="L55" i="2"/>
  <c r="K59" i="2"/>
  <c r="K63" i="2" s="1"/>
  <c r="L53" i="2"/>
  <c r="K58" i="2"/>
  <c r="K62" i="2" s="1"/>
  <c r="J60" i="2"/>
  <c r="J56" i="2"/>
  <c r="M22" i="3"/>
  <c r="M13" i="3" s="1"/>
  <c r="Q42" i="4"/>
  <c r="P43" i="4"/>
  <c r="P52" i="2"/>
  <c r="X92" i="5"/>
  <c r="X62" i="5"/>
  <c r="O15" i="3"/>
  <c r="N19" i="3"/>
  <c r="N51" i="2"/>
  <c r="O64" i="1"/>
  <c r="O25" i="3"/>
  <c r="N23" i="3"/>
  <c r="N61" i="1"/>
  <c r="O21" i="1"/>
  <c r="O130" i="2"/>
  <c r="N92" i="5"/>
  <c r="N62" i="5"/>
  <c r="B12" i="5"/>
  <c r="E19" i="5" s="1"/>
  <c r="N54" i="2"/>
  <c r="Y41" i="4"/>
  <c r="Y39" i="4"/>
  <c r="O41" i="4"/>
  <c r="O43" i="4" s="1"/>
  <c r="O39" i="4"/>
  <c r="L27" i="3"/>
  <c r="O4" i="5"/>
  <c r="N56" i="5"/>
  <c r="L49" i="2"/>
  <c r="K57" i="2"/>
  <c r="K61" i="2" s="1"/>
  <c r="P50" i="2"/>
  <c r="O310" i="1"/>
  <c r="P301" i="1"/>
  <c r="E274" i="2"/>
  <c r="F257" i="2"/>
  <c r="K105" i="1" l="1"/>
  <c r="K103" i="1"/>
  <c r="S18" i="8"/>
  <c r="S42" i="8" s="1"/>
  <c r="S56" i="8" s="1"/>
  <c r="S70" i="8"/>
  <c r="S75" i="8" s="1"/>
  <c r="Z28" i="8"/>
  <c r="Z23" i="8"/>
  <c r="Z33" i="8" s="1"/>
  <c r="AE23" i="8"/>
  <c r="AE33" i="8" s="1"/>
  <c r="AE28" i="8"/>
  <c r="X61" i="8"/>
  <c r="K106" i="1"/>
  <c r="AE42" i="8"/>
  <c r="U9" i="8"/>
  <c r="U18" i="8"/>
  <c r="AC56" i="8"/>
  <c r="AC47" i="8"/>
  <c r="Z42" i="8"/>
  <c r="Z56" i="8" s="1"/>
  <c r="M217" i="2"/>
  <c r="O71" i="1"/>
  <c r="L193" i="2"/>
  <c r="N129" i="1"/>
  <c r="V9" i="2"/>
  <c r="W25" i="2" s="1"/>
  <c r="C7" i="13"/>
  <c r="E7" i="13" s="1"/>
  <c r="J125" i="2"/>
  <c r="J126" i="2"/>
  <c r="D4" i="10"/>
  <c r="K120" i="2"/>
  <c r="E4" i="10"/>
  <c r="E18" i="10" s="1"/>
  <c r="E19" i="10" s="1"/>
  <c r="E20" i="10" s="1"/>
  <c r="L120" i="2"/>
  <c r="L124" i="2" s="1"/>
  <c r="Y4" i="8"/>
  <c r="Y70" i="8" s="1"/>
  <c r="Y75" i="8" s="1"/>
  <c r="O4" i="8"/>
  <c r="O70" i="8" s="1"/>
  <c r="O75" i="8" s="1"/>
  <c r="S9" i="8"/>
  <c r="J155" i="1"/>
  <c r="H211" i="2"/>
  <c r="H238" i="2"/>
  <c r="J156" i="1"/>
  <c r="H212" i="2"/>
  <c r="H239" i="2"/>
  <c r="I246" i="2"/>
  <c r="I280" i="2" s="1"/>
  <c r="K102" i="1"/>
  <c r="K107" i="1"/>
  <c r="J152" i="1"/>
  <c r="H208" i="2"/>
  <c r="H235" i="2"/>
  <c r="H237" i="2"/>
  <c r="J154" i="1"/>
  <c r="H210" i="2"/>
  <c r="J151" i="1"/>
  <c r="H207" i="2"/>
  <c r="H234" i="2"/>
  <c r="H263" i="2"/>
  <c r="H267" i="2" s="1"/>
  <c r="H258" i="2"/>
  <c r="R9" i="1"/>
  <c r="V14" i="1"/>
  <c r="K29" i="3"/>
  <c r="K26" i="3" s="1"/>
  <c r="K30" i="3" s="1"/>
  <c r="Q107" i="5" s="1"/>
  <c r="L116" i="2"/>
  <c r="M117" i="2"/>
  <c r="M121" i="2" s="1"/>
  <c r="M131" i="2"/>
  <c r="P189" i="2"/>
  <c r="S153" i="1"/>
  <c r="Q209" i="2"/>
  <c r="Q236" i="2"/>
  <c r="N130" i="1"/>
  <c r="L194" i="2"/>
  <c r="L218" i="2"/>
  <c r="T54" i="1"/>
  <c r="Q184" i="2"/>
  <c r="U53" i="1"/>
  <c r="R183" i="2"/>
  <c r="T58" i="1"/>
  <c r="Q188" i="2"/>
  <c r="N68" i="1"/>
  <c r="L95" i="2"/>
  <c r="P38" i="1"/>
  <c r="M176" i="2"/>
  <c r="O122" i="1"/>
  <c r="N91" i="2"/>
  <c r="R146" i="1"/>
  <c r="Q115" i="2"/>
  <c r="Q119" i="2" s="1"/>
  <c r="Q123" i="2" s="1"/>
  <c r="L151" i="2"/>
  <c r="L157" i="2" s="1"/>
  <c r="AA31" i="1"/>
  <c r="X169" i="2"/>
  <c r="T55" i="1"/>
  <c r="Q185" i="2"/>
  <c r="P37" i="1"/>
  <c r="M175" i="2"/>
  <c r="T57" i="1"/>
  <c r="Q187" i="2"/>
  <c r="P36" i="1"/>
  <c r="M174" i="2"/>
  <c r="Z150" i="1"/>
  <c r="X206" i="2"/>
  <c r="X233" i="2"/>
  <c r="L137" i="2"/>
  <c r="L89" i="2"/>
  <c r="L97" i="2" s="1"/>
  <c r="L101" i="2" s="1"/>
  <c r="W155" i="2"/>
  <c r="V159" i="2"/>
  <c r="V163" i="2" s="1"/>
  <c r="W153" i="2"/>
  <c r="V158" i="2"/>
  <c r="V162" i="2" s="1"/>
  <c r="Z51" i="1"/>
  <c r="W181" i="2"/>
  <c r="AC32" i="1"/>
  <c r="AC72" i="1" s="1"/>
  <c r="Z170" i="2"/>
  <c r="AA52" i="1"/>
  <c r="AA101" i="1" s="1"/>
  <c r="X182" i="2"/>
  <c r="K141" i="2"/>
  <c r="L177" i="2"/>
  <c r="N81" i="2"/>
  <c r="N80" i="2" s="1"/>
  <c r="M252" i="2" s="1"/>
  <c r="N76" i="2"/>
  <c r="O133" i="1"/>
  <c r="M197" i="2"/>
  <c r="M221" i="2"/>
  <c r="R144" i="1"/>
  <c r="Q113" i="2"/>
  <c r="Q118" i="2" s="1"/>
  <c r="Q122" i="2" s="1"/>
  <c r="R69" i="2"/>
  <c r="K161" i="2"/>
  <c r="K160" i="2" s="1"/>
  <c r="K156" i="2"/>
  <c r="N66" i="1"/>
  <c r="L93" i="2"/>
  <c r="L133" i="2" s="1"/>
  <c r="P35" i="1"/>
  <c r="M173" i="2"/>
  <c r="P34" i="1"/>
  <c r="M172" i="2"/>
  <c r="T56" i="1"/>
  <c r="Q186" i="2"/>
  <c r="Z33" i="1"/>
  <c r="W171" i="2"/>
  <c r="U150" i="2"/>
  <c r="N90" i="1"/>
  <c r="N119" i="1"/>
  <c r="N139" i="1" s="1"/>
  <c r="N159" i="1" s="1"/>
  <c r="N164" i="1" s="1"/>
  <c r="L4" i="2"/>
  <c r="M5" i="2"/>
  <c r="N21" i="2" s="1"/>
  <c r="N20" i="2" s="1"/>
  <c r="O22" i="1"/>
  <c r="O160" i="1" s="1"/>
  <c r="N62" i="1"/>
  <c r="M129" i="2" s="1"/>
  <c r="R141" i="1"/>
  <c r="N142" i="1"/>
  <c r="O93" i="1"/>
  <c r="N111" i="2" s="1"/>
  <c r="O165" i="1"/>
  <c r="T48" i="1"/>
  <c r="S97" i="1"/>
  <c r="S92" i="1"/>
  <c r="R110" i="2" s="1"/>
  <c r="T47" i="1"/>
  <c r="T96" i="1" s="1"/>
  <c r="S114" i="2" s="1"/>
  <c r="T46" i="1"/>
  <c r="S95" i="1"/>
  <c r="S42" i="1"/>
  <c r="S91" i="1" s="1"/>
  <c r="R109" i="2" s="1"/>
  <c r="T45" i="1"/>
  <c r="T94" i="1" s="1"/>
  <c r="S112" i="2" s="1"/>
  <c r="Q17" i="1"/>
  <c r="P44" i="1"/>
  <c r="O71" i="2" s="1"/>
  <c r="O77" i="2" s="1"/>
  <c r="P28" i="1"/>
  <c r="O135" i="2" s="1"/>
  <c r="M109" i="5"/>
  <c r="N77" i="5"/>
  <c r="B62" i="5"/>
  <c r="P130" i="2"/>
  <c r="F274" i="2"/>
  <c r="G257" i="2"/>
  <c r="Q50" i="2"/>
  <c r="O20" i="4"/>
  <c r="P4" i="4"/>
  <c r="L57" i="2"/>
  <c r="L61" i="2" s="1"/>
  <c r="M49" i="2"/>
  <c r="W109" i="5"/>
  <c r="X77" i="5"/>
  <c r="R42" i="4"/>
  <c r="Q43" i="4"/>
  <c r="M55" i="2"/>
  <c r="L59" i="2"/>
  <c r="L63" i="2" s="1"/>
  <c r="S315" i="1"/>
  <c r="P310" i="1"/>
  <c r="Q301" i="1"/>
  <c r="N86" i="5"/>
  <c r="M103" i="5" s="1"/>
  <c r="N70" i="5"/>
  <c r="M27" i="3"/>
  <c r="P25" i="3"/>
  <c r="O23" i="3"/>
  <c r="N22" i="3"/>
  <c r="N13" i="3" s="1"/>
  <c r="M53" i="2"/>
  <c r="L58" i="2"/>
  <c r="L62" i="2" s="1"/>
  <c r="Q24" i="1"/>
  <c r="K56" i="2"/>
  <c r="K60" i="2"/>
  <c r="O56" i="5"/>
  <c r="P4" i="5"/>
  <c r="O54" i="2"/>
  <c r="O61" i="1"/>
  <c r="P21" i="1"/>
  <c r="P15" i="3"/>
  <c r="O19" i="3"/>
  <c r="Q52" i="2"/>
  <c r="O51" i="2"/>
  <c r="P64" i="1"/>
  <c r="S23" i="8" l="1"/>
  <c r="S33" i="8" s="1"/>
  <c r="S28" i="8"/>
  <c r="L105" i="1"/>
  <c r="L103" i="1"/>
  <c r="AC61" i="8"/>
  <c r="U23" i="8"/>
  <c r="U33" i="8" s="1"/>
  <c r="U28" i="8"/>
  <c r="S61" i="8"/>
  <c r="Z61" i="8"/>
  <c r="L102" i="1"/>
  <c r="L107" i="1"/>
  <c r="L106" i="1"/>
  <c r="AE56" i="8"/>
  <c r="AE47" i="8"/>
  <c r="O9" i="8"/>
  <c r="O18" i="8"/>
  <c r="U42" i="8"/>
  <c r="Y9" i="8"/>
  <c r="Y18" i="8"/>
  <c r="C4" i="8"/>
  <c r="P71" i="1"/>
  <c r="N217" i="2"/>
  <c r="M193" i="2"/>
  <c r="O129" i="1"/>
  <c r="W9" i="2"/>
  <c r="X25" i="2" s="1"/>
  <c r="D7" i="13"/>
  <c r="F7" i="13" s="1"/>
  <c r="E8" i="13"/>
  <c r="E9" i="13" s="1"/>
  <c r="E10" i="13" s="1"/>
  <c r="M120" i="2"/>
  <c r="M124" i="2" s="1"/>
  <c r="C8" i="13"/>
  <c r="K126" i="2"/>
  <c r="K125" i="2"/>
  <c r="C9" i="13"/>
  <c r="L126" i="2"/>
  <c r="L125" i="2"/>
  <c r="K124" i="2"/>
  <c r="I237" i="2"/>
  <c r="I210" i="2"/>
  <c r="K154" i="1"/>
  <c r="I235" i="2"/>
  <c r="K152" i="1"/>
  <c r="I208" i="2"/>
  <c r="I207" i="2"/>
  <c r="I234" i="2"/>
  <c r="K151" i="1"/>
  <c r="J246" i="2"/>
  <c r="J280" i="2" s="1"/>
  <c r="K155" i="1"/>
  <c r="I211" i="2"/>
  <c r="I238" i="2"/>
  <c r="K156" i="1"/>
  <c r="I212" i="2"/>
  <c r="I239" i="2"/>
  <c r="I263" i="2"/>
  <c r="I267" i="2" s="1"/>
  <c r="I258" i="2"/>
  <c r="S9" i="1"/>
  <c r="W14" i="1"/>
  <c r="L29" i="3"/>
  <c r="L26" i="3" s="1"/>
  <c r="L30" i="3" s="1"/>
  <c r="R107" i="5" s="1"/>
  <c r="M116" i="2"/>
  <c r="N131" i="2"/>
  <c r="N117" i="2"/>
  <c r="N116" i="2" s="1"/>
  <c r="Q189" i="2"/>
  <c r="S146" i="1"/>
  <c r="R115" i="2"/>
  <c r="R119" i="2" s="1"/>
  <c r="R123" i="2" s="1"/>
  <c r="M151" i="2"/>
  <c r="M157" i="2" s="1"/>
  <c r="M177" i="2"/>
  <c r="AD32" i="1"/>
  <c r="AD72" i="1" s="1"/>
  <c r="AA170" i="2"/>
  <c r="X153" i="2"/>
  <c r="W158" i="2"/>
  <c r="W162" i="2" s="1"/>
  <c r="L141" i="2"/>
  <c r="U57" i="1"/>
  <c r="R187" i="2"/>
  <c r="U55" i="1"/>
  <c r="R185" i="2"/>
  <c r="L161" i="2"/>
  <c r="L160" i="2" s="1"/>
  <c r="L156" i="2"/>
  <c r="AA33" i="1"/>
  <c r="X171" i="2"/>
  <c r="Q34" i="1"/>
  <c r="N172" i="2"/>
  <c r="O66" i="1"/>
  <c r="M93" i="2"/>
  <c r="M133" i="2" s="1"/>
  <c r="S69" i="2"/>
  <c r="Q38" i="1"/>
  <c r="N176" i="2"/>
  <c r="U58" i="1"/>
  <c r="R188" i="2"/>
  <c r="U54" i="1"/>
  <c r="R184" i="2"/>
  <c r="P133" i="1"/>
  <c r="N197" i="2"/>
  <c r="N221" i="2"/>
  <c r="T153" i="1"/>
  <c r="R209" i="2"/>
  <c r="R236" i="2"/>
  <c r="O81" i="2"/>
  <c r="O80" i="2" s="1"/>
  <c r="N252" i="2" s="1"/>
  <c r="O76" i="2"/>
  <c r="O130" i="1"/>
  <c r="M194" i="2"/>
  <c r="M218" i="2"/>
  <c r="AA150" i="1"/>
  <c r="Y233" i="2"/>
  <c r="Y206" i="2"/>
  <c r="AB52" i="1"/>
  <c r="AB101" i="1" s="1"/>
  <c r="Y182" i="2"/>
  <c r="AA51" i="1"/>
  <c r="X181" i="2"/>
  <c r="X155" i="2"/>
  <c r="W159" i="2"/>
  <c r="W163" i="2" s="1"/>
  <c r="Q36" i="1"/>
  <c r="N174" i="2"/>
  <c r="Q37" i="1"/>
  <c r="N175" i="2"/>
  <c r="AB31" i="1"/>
  <c r="Y169" i="2"/>
  <c r="P122" i="1"/>
  <c r="O91" i="2"/>
  <c r="S144" i="1"/>
  <c r="R113" i="2"/>
  <c r="R118" i="2" s="1"/>
  <c r="R122" i="2" s="1"/>
  <c r="M137" i="2"/>
  <c r="M89" i="2"/>
  <c r="M97" i="2" s="1"/>
  <c r="M101" i="2" s="1"/>
  <c r="V150" i="2"/>
  <c r="U56" i="1"/>
  <c r="R186" i="2"/>
  <c r="Q35" i="1"/>
  <c r="N173" i="2"/>
  <c r="O68" i="1"/>
  <c r="M95" i="2"/>
  <c r="V53" i="1"/>
  <c r="S183" i="2"/>
  <c r="O90" i="1"/>
  <c r="O119" i="1"/>
  <c r="O139" i="1" s="1"/>
  <c r="O159" i="1" s="1"/>
  <c r="O164" i="1" s="1"/>
  <c r="M4" i="2"/>
  <c r="N5" i="2"/>
  <c r="O21" i="2" s="1"/>
  <c r="O20" i="2" s="1"/>
  <c r="P22" i="1"/>
  <c r="P160" i="1" s="1"/>
  <c r="O62" i="1"/>
  <c r="N129" i="2" s="1"/>
  <c r="S141" i="1"/>
  <c r="O142" i="1"/>
  <c r="T92" i="1"/>
  <c r="S110" i="2" s="1"/>
  <c r="P93" i="1"/>
  <c r="O111" i="2" s="1"/>
  <c r="P165" i="1"/>
  <c r="U46" i="1"/>
  <c r="T95" i="1"/>
  <c r="U47" i="1"/>
  <c r="U96" i="1" s="1"/>
  <c r="T114" i="2" s="1"/>
  <c r="U48" i="1"/>
  <c r="T97" i="1"/>
  <c r="T42" i="1"/>
  <c r="T91" i="1" s="1"/>
  <c r="S109" i="2" s="1"/>
  <c r="U45" i="1"/>
  <c r="U94" i="1" s="1"/>
  <c r="T112" i="2" s="1"/>
  <c r="R17" i="1"/>
  <c r="Q44" i="1"/>
  <c r="P71" i="2" s="1"/>
  <c r="P77" i="2" s="1"/>
  <c r="Q28" i="1"/>
  <c r="P135" i="2" s="1"/>
  <c r="B77" i="5"/>
  <c r="B11" i="6" s="1"/>
  <c r="P54" i="2"/>
  <c r="R52" i="2"/>
  <c r="P56" i="5"/>
  <c r="Q4" i="5"/>
  <c r="P51" i="2"/>
  <c r="Q64" i="1"/>
  <c r="O22" i="3"/>
  <c r="O13" i="3" s="1"/>
  <c r="N27" i="3"/>
  <c r="R301" i="1"/>
  <c r="Q310" i="1"/>
  <c r="O70" i="5"/>
  <c r="O86" i="5"/>
  <c r="N103" i="5" s="1"/>
  <c r="R24" i="1"/>
  <c r="N53" i="2"/>
  <c r="M58" i="2"/>
  <c r="M62" i="2" s="1"/>
  <c r="Q25" i="3"/>
  <c r="P23" i="3"/>
  <c r="Q15" i="3"/>
  <c r="P19" i="3"/>
  <c r="S42" i="4"/>
  <c r="R43" i="4"/>
  <c r="L56" i="2"/>
  <c r="L60" i="2"/>
  <c r="Q4" i="4"/>
  <c r="P20" i="4"/>
  <c r="R50" i="2"/>
  <c r="Q130" i="2"/>
  <c r="T315" i="1"/>
  <c r="M57" i="2"/>
  <c r="M61" i="2" s="1"/>
  <c r="N49" i="2"/>
  <c r="G274" i="2"/>
  <c r="H257" i="2"/>
  <c r="P61" i="1"/>
  <c r="Q21" i="1"/>
  <c r="N55" i="2"/>
  <c r="M59" i="2"/>
  <c r="M63" i="2" s="1"/>
  <c r="M105" i="1" l="1"/>
  <c r="M103" i="1"/>
  <c r="C9" i="8"/>
  <c r="AE61" i="8"/>
  <c r="O23" i="8"/>
  <c r="O33" i="8" s="1"/>
  <c r="O28" i="8"/>
  <c r="Y23" i="8"/>
  <c r="Y33" i="8" s="1"/>
  <c r="Y28" i="8"/>
  <c r="M102" i="1"/>
  <c r="M106" i="1"/>
  <c r="M107" i="1"/>
  <c r="O42" i="8"/>
  <c r="U56" i="8"/>
  <c r="U47" i="8"/>
  <c r="Y42" i="8"/>
  <c r="C18" i="8"/>
  <c r="Q71" i="1"/>
  <c r="O217" i="2"/>
  <c r="N193" i="2"/>
  <c r="P129" i="1"/>
  <c r="D8" i="13"/>
  <c r="F8" i="13" s="1"/>
  <c r="D9" i="13"/>
  <c r="F9" i="13" s="1"/>
  <c r="X9" i="2"/>
  <c r="Y25" i="2" s="1"/>
  <c r="C10" i="13"/>
  <c r="D10" i="13" s="1"/>
  <c r="F10" i="13" s="1"/>
  <c r="M126" i="2"/>
  <c r="M125" i="2"/>
  <c r="E11" i="13"/>
  <c r="L154" i="1"/>
  <c r="J210" i="2"/>
  <c r="J237" i="2"/>
  <c r="J235" i="2"/>
  <c r="L152" i="1"/>
  <c r="J208" i="2"/>
  <c r="K246" i="2"/>
  <c r="K280" i="2" s="1"/>
  <c r="J212" i="2"/>
  <c r="J239" i="2"/>
  <c r="L156" i="1"/>
  <c r="L155" i="1"/>
  <c r="J211" i="2"/>
  <c r="J238" i="2"/>
  <c r="L151" i="1"/>
  <c r="J234" i="2"/>
  <c r="J207" i="2"/>
  <c r="J263" i="2"/>
  <c r="J267" i="2" s="1"/>
  <c r="J258" i="2"/>
  <c r="T9" i="1"/>
  <c r="X14" i="1"/>
  <c r="M29" i="3"/>
  <c r="M26" i="3" s="1"/>
  <c r="M30" i="3" s="1"/>
  <c r="S107" i="5" s="1"/>
  <c r="N121" i="2"/>
  <c r="O117" i="2"/>
  <c r="O121" i="2" s="1"/>
  <c r="O131" i="2"/>
  <c r="R189" i="2"/>
  <c r="Q133" i="1"/>
  <c r="O197" i="2"/>
  <c r="O221" i="2"/>
  <c r="U153" i="1"/>
  <c r="S209" i="2"/>
  <c r="S236" i="2"/>
  <c r="AB150" i="1"/>
  <c r="Z206" i="2"/>
  <c r="Z233" i="2"/>
  <c r="N151" i="2"/>
  <c r="N157" i="2" s="1"/>
  <c r="W53" i="1"/>
  <c r="T183" i="2"/>
  <c r="R35" i="1"/>
  <c r="O173" i="2"/>
  <c r="W150" i="2"/>
  <c r="AC31" i="1"/>
  <c r="Z169" i="2"/>
  <c r="R36" i="1"/>
  <c r="O174" i="2"/>
  <c r="AB51" i="1"/>
  <c r="Y181" i="2"/>
  <c r="V57" i="1"/>
  <c r="S187" i="2"/>
  <c r="Y153" i="2"/>
  <c r="X158" i="2"/>
  <c r="X162" i="2" s="1"/>
  <c r="M161" i="2"/>
  <c r="M160" i="2" s="1"/>
  <c r="M156" i="2"/>
  <c r="V58" i="1"/>
  <c r="S188" i="2"/>
  <c r="P66" i="1"/>
  <c r="N93" i="2"/>
  <c r="N133" i="2" s="1"/>
  <c r="AB33" i="1"/>
  <c r="Y171" i="2"/>
  <c r="Q122" i="1"/>
  <c r="P91" i="2"/>
  <c r="P81" i="2"/>
  <c r="P80" i="2" s="1"/>
  <c r="O252" i="2" s="1"/>
  <c r="P76" i="2"/>
  <c r="T144" i="1"/>
  <c r="S113" i="2"/>
  <c r="S118" i="2" s="1"/>
  <c r="S122" i="2" s="1"/>
  <c r="P68" i="1"/>
  <c r="N95" i="2"/>
  <c r="V56" i="1"/>
  <c r="S186" i="2"/>
  <c r="M141" i="2"/>
  <c r="R37" i="1"/>
  <c r="O175" i="2"/>
  <c r="Y155" i="2"/>
  <c r="X159" i="2"/>
  <c r="X163" i="2" s="1"/>
  <c r="AC52" i="1"/>
  <c r="AC101" i="1" s="1"/>
  <c r="Z182" i="2"/>
  <c r="T69" i="2"/>
  <c r="N177" i="2"/>
  <c r="V55" i="1"/>
  <c r="S185" i="2"/>
  <c r="AE32" i="1"/>
  <c r="AE72" i="1" s="1"/>
  <c r="AB170" i="2"/>
  <c r="P130" i="1"/>
  <c r="N194" i="2"/>
  <c r="N218" i="2"/>
  <c r="T146" i="1"/>
  <c r="S115" i="2"/>
  <c r="S119" i="2" s="1"/>
  <c r="S123" i="2" s="1"/>
  <c r="N137" i="2"/>
  <c r="N89" i="2"/>
  <c r="N97" i="2" s="1"/>
  <c r="N101" i="2" s="1"/>
  <c r="V54" i="1"/>
  <c r="S184" i="2"/>
  <c r="R38" i="1"/>
  <c r="O176" i="2"/>
  <c r="R34" i="1"/>
  <c r="O172" i="2"/>
  <c r="N4" i="2"/>
  <c r="O5" i="2"/>
  <c r="P21" i="2" s="1"/>
  <c r="P20" i="2" s="1"/>
  <c r="P90" i="1"/>
  <c r="P119" i="1"/>
  <c r="P139" i="1" s="1"/>
  <c r="P159" i="1" s="1"/>
  <c r="P164" i="1" s="1"/>
  <c r="Q22" i="1"/>
  <c r="Q160" i="1" s="1"/>
  <c r="P62" i="1"/>
  <c r="O129" i="2" s="1"/>
  <c r="T141" i="1"/>
  <c r="P142" i="1"/>
  <c r="V48" i="1"/>
  <c r="U97" i="1"/>
  <c r="V46" i="1"/>
  <c r="U95" i="1"/>
  <c r="U92" i="1"/>
  <c r="T110" i="2" s="1"/>
  <c r="Q93" i="1"/>
  <c r="P111" i="2" s="1"/>
  <c r="Q165" i="1"/>
  <c r="V47" i="1"/>
  <c r="V96" i="1" s="1"/>
  <c r="U114" i="2" s="1"/>
  <c r="U42" i="1"/>
  <c r="U91" i="1" s="1"/>
  <c r="T109" i="2" s="1"/>
  <c r="V45" i="1"/>
  <c r="V94" i="1" s="1"/>
  <c r="U112" i="2" s="1"/>
  <c r="S17" i="1"/>
  <c r="R44" i="1"/>
  <c r="Q71" i="2" s="1"/>
  <c r="Q77" i="2" s="1"/>
  <c r="R28" i="1"/>
  <c r="Q135" i="2" s="1"/>
  <c r="M60" i="2"/>
  <c r="M56" i="2"/>
  <c r="S50" i="2"/>
  <c r="P86" i="5"/>
  <c r="O103" i="5" s="1"/>
  <c r="P70" i="5"/>
  <c r="Q61" i="1"/>
  <c r="R21" i="1"/>
  <c r="H274" i="2"/>
  <c r="I257" i="2"/>
  <c r="N57" i="2"/>
  <c r="N61" i="2" s="1"/>
  <c r="O49" i="2"/>
  <c r="Q20" i="4"/>
  <c r="R4" i="4"/>
  <c r="S24" i="1"/>
  <c r="R4" i="5"/>
  <c r="Q56" i="5"/>
  <c r="Q54" i="2"/>
  <c r="O53" i="2"/>
  <c r="N58" i="2"/>
  <c r="N62" i="2" s="1"/>
  <c r="S52" i="2"/>
  <c r="R130" i="2"/>
  <c r="R15" i="3"/>
  <c r="Q19" i="3"/>
  <c r="O55" i="2"/>
  <c r="N59" i="2"/>
  <c r="N63" i="2" s="1"/>
  <c r="U315" i="1"/>
  <c r="T42" i="4"/>
  <c r="S43" i="4"/>
  <c r="R25" i="3"/>
  <c r="Q23" i="3"/>
  <c r="Q51" i="2"/>
  <c r="R64" i="1"/>
  <c r="R310" i="1"/>
  <c r="S301" i="1"/>
  <c r="O27" i="3"/>
  <c r="P22" i="3"/>
  <c r="P13" i="3" s="1"/>
  <c r="N105" i="1" l="1"/>
  <c r="N103" i="1"/>
  <c r="C28" i="8"/>
  <c r="U61" i="8"/>
  <c r="N102" i="1"/>
  <c r="N106" i="1"/>
  <c r="N107" i="1"/>
  <c r="O56" i="8"/>
  <c r="O47" i="8"/>
  <c r="Y56" i="8"/>
  <c r="Y47" i="8"/>
  <c r="C42" i="8"/>
  <c r="R71" i="1"/>
  <c r="P217" i="2"/>
  <c r="Q129" i="1"/>
  <c r="O193" i="2"/>
  <c r="Y9" i="2"/>
  <c r="Z25" i="2" s="1"/>
  <c r="O120" i="2"/>
  <c r="O124" i="2" s="1"/>
  <c r="N120" i="2"/>
  <c r="N124" i="2" s="1"/>
  <c r="E12" i="13"/>
  <c r="L246" i="2"/>
  <c r="L280" i="2" s="1"/>
  <c r="M152" i="1"/>
  <c r="K235" i="2"/>
  <c r="K208" i="2"/>
  <c r="K238" i="2"/>
  <c r="M155" i="1"/>
  <c r="K211" i="2"/>
  <c r="M156" i="1"/>
  <c r="K212" i="2"/>
  <c r="K239" i="2"/>
  <c r="K237" i="2"/>
  <c r="M154" i="1"/>
  <c r="K210" i="2"/>
  <c r="K234" i="2"/>
  <c r="M151" i="1"/>
  <c r="K207" i="2"/>
  <c r="K263" i="2"/>
  <c r="K267" i="2" s="1"/>
  <c r="K258" i="2"/>
  <c r="U9" i="1"/>
  <c r="Y14" i="1"/>
  <c r="N29" i="3"/>
  <c r="N26" i="3" s="1"/>
  <c r="N30" i="3" s="1"/>
  <c r="T107" i="5" s="1"/>
  <c r="O116" i="2"/>
  <c r="P117" i="2"/>
  <c r="P121" i="2" s="1"/>
  <c r="S189" i="2"/>
  <c r="P131" i="2"/>
  <c r="O177" i="2"/>
  <c r="AC150" i="1"/>
  <c r="AA206" i="2"/>
  <c r="AA233" i="2"/>
  <c r="V153" i="1"/>
  <c r="T209" i="2"/>
  <c r="T236" i="2"/>
  <c r="U144" i="1"/>
  <c r="T113" i="2"/>
  <c r="T118" i="2" s="1"/>
  <c r="T122" i="2" s="1"/>
  <c r="O151" i="2"/>
  <c r="O157" i="2" s="1"/>
  <c r="R133" i="1"/>
  <c r="P221" i="2"/>
  <c r="P197" i="2"/>
  <c r="AF32" i="1"/>
  <c r="AF72" i="1" s="1"/>
  <c r="AC170" i="2"/>
  <c r="U69" i="2"/>
  <c r="N161" i="2"/>
  <c r="N160" i="2" s="1"/>
  <c r="N156" i="2"/>
  <c r="Q130" i="1"/>
  <c r="O194" i="2"/>
  <c r="O218" i="2"/>
  <c r="U146" i="1"/>
  <c r="T115" i="2"/>
  <c r="T119" i="2" s="1"/>
  <c r="T123" i="2" s="1"/>
  <c r="S34" i="1"/>
  <c r="P172" i="2"/>
  <c r="W54" i="1"/>
  <c r="T184" i="2"/>
  <c r="Z155" i="2"/>
  <c r="Y159" i="2"/>
  <c r="Y163" i="2" s="1"/>
  <c r="Q68" i="1"/>
  <c r="O95" i="2"/>
  <c r="Q66" i="1"/>
  <c r="O93" i="2"/>
  <c r="O133" i="2" s="1"/>
  <c r="Z153" i="2"/>
  <c r="Y158" i="2"/>
  <c r="Y162" i="2" s="1"/>
  <c r="AC51" i="1"/>
  <c r="Z181" i="2"/>
  <c r="AD31" i="1"/>
  <c r="AA169" i="2"/>
  <c r="S35" i="1"/>
  <c r="P173" i="2"/>
  <c r="Q81" i="2"/>
  <c r="Q80" i="2" s="1"/>
  <c r="P252" i="2" s="1"/>
  <c r="Q76" i="2"/>
  <c r="O137" i="2"/>
  <c r="O89" i="2"/>
  <c r="O97" i="2" s="1"/>
  <c r="O101" i="2" s="1"/>
  <c r="W55" i="1"/>
  <c r="T185" i="2"/>
  <c r="R122" i="1"/>
  <c r="Q91" i="2"/>
  <c r="S38" i="1"/>
  <c r="P176" i="2"/>
  <c r="N141" i="2"/>
  <c r="AD52" i="1"/>
  <c r="AD101" i="1" s="1"/>
  <c r="AA182" i="2"/>
  <c r="S37" i="1"/>
  <c r="P175" i="2"/>
  <c r="W56" i="1"/>
  <c r="T186" i="2"/>
  <c r="AC33" i="1"/>
  <c r="Z171" i="2"/>
  <c r="W58" i="1"/>
  <c r="T188" i="2"/>
  <c r="W57" i="1"/>
  <c r="T187" i="2"/>
  <c r="S36" i="1"/>
  <c r="P174" i="2"/>
  <c r="X150" i="2"/>
  <c r="X53" i="1"/>
  <c r="U183" i="2"/>
  <c r="Q90" i="1"/>
  <c r="Q119" i="1"/>
  <c r="Q139" i="1" s="1"/>
  <c r="Q159" i="1" s="1"/>
  <c r="Q164" i="1" s="1"/>
  <c r="P5" i="2"/>
  <c r="Q21" i="2" s="1"/>
  <c r="Q20" i="2" s="1"/>
  <c r="O4" i="2"/>
  <c r="R22" i="1"/>
  <c r="R160" i="1" s="1"/>
  <c r="Q62" i="1"/>
  <c r="P129" i="2" s="1"/>
  <c r="U141" i="1"/>
  <c r="Q142" i="1"/>
  <c r="W46" i="1"/>
  <c r="V95" i="1"/>
  <c r="W47" i="1"/>
  <c r="W96" i="1" s="1"/>
  <c r="V114" i="2" s="1"/>
  <c r="R93" i="1"/>
  <c r="Q111" i="2" s="1"/>
  <c r="R165" i="1"/>
  <c r="V92" i="1"/>
  <c r="U110" i="2" s="1"/>
  <c r="W48" i="1"/>
  <c r="V97" i="1"/>
  <c r="V42" i="1"/>
  <c r="V91" i="1" s="1"/>
  <c r="U109" i="2" s="1"/>
  <c r="W45" i="1"/>
  <c r="W94" i="1" s="1"/>
  <c r="V112" i="2" s="1"/>
  <c r="T17" i="1"/>
  <c r="S44" i="1"/>
  <c r="R71" i="2" s="1"/>
  <c r="R77" i="2" s="1"/>
  <c r="S28" i="1"/>
  <c r="R135" i="2" s="1"/>
  <c r="S130" i="2"/>
  <c r="Q22" i="3"/>
  <c r="Q13" i="3" s="1"/>
  <c r="S310" i="1"/>
  <c r="T301" i="1"/>
  <c r="P55" i="2"/>
  <c r="O59" i="2"/>
  <c r="O63" i="2" s="1"/>
  <c r="P53" i="2"/>
  <c r="O58" i="2"/>
  <c r="O62" i="2" s="1"/>
  <c r="R51" i="2"/>
  <c r="S64" i="1"/>
  <c r="N60" i="2"/>
  <c r="N56" i="2"/>
  <c r="T50" i="2"/>
  <c r="S15" i="3"/>
  <c r="R19" i="3"/>
  <c r="R54" i="2"/>
  <c r="S4" i="5"/>
  <c r="R56" i="5"/>
  <c r="Q86" i="5"/>
  <c r="P103" i="5" s="1"/>
  <c r="Q70" i="5"/>
  <c r="R20" i="4"/>
  <c r="S4" i="4"/>
  <c r="R61" i="1"/>
  <c r="S21" i="1"/>
  <c r="U42" i="4"/>
  <c r="T43" i="4"/>
  <c r="P27" i="3"/>
  <c r="S25" i="3"/>
  <c r="R23" i="3"/>
  <c r="V315" i="1"/>
  <c r="T52" i="2"/>
  <c r="T24" i="1"/>
  <c r="P49" i="2"/>
  <c r="O57" i="2"/>
  <c r="O61" i="2" s="1"/>
  <c r="I274" i="2"/>
  <c r="J257" i="2"/>
  <c r="O103" i="1" l="1"/>
  <c r="O105" i="1"/>
  <c r="Y61" i="8"/>
  <c r="O61" i="8"/>
  <c r="O102" i="1"/>
  <c r="O107" i="1"/>
  <c r="O106" i="1"/>
  <c r="C33" i="8"/>
  <c r="S71" i="1"/>
  <c r="Q217" i="2"/>
  <c r="P193" i="2"/>
  <c r="R129" i="1"/>
  <c r="Z9" i="2"/>
  <c r="AA25" i="2" s="1"/>
  <c r="C12" i="13"/>
  <c r="D12" i="13" s="1"/>
  <c r="F12" i="13" s="1"/>
  <c r="O126" i="2"/>
  <c r="O125" i="2"/>
  <c r="P120" i="2"/>
  <c r="P124" i="2" s="1"/>
  <c r="C11" i="13"/>
  <c r="D11" i="13" s="1"/>
  <c r="F11" i="13" s="1"/>
  <c r="N126" i="2"/>
  <c r="N125" i="2"/>
  <c r="E13" i="13"/>
  <c r="L212" i="2"/>
  <c r="L239" i="2"/>
  <c r="N156" i="1"/>
  <c r="L207" i="2"/>
  <c r="L234" i="2"/>
  <c r="N151" i="1"/>
  <c r="N154" i="1"/>
  <c r="L210" i="2"/>
  <c r="L237" i="2"/>
  <c r="N152" i="1"/>
  <c r="L208" i="2"/>
  <c r="L235" i="2"/>
  <c r="M246" i="2"/>
  <c r="M280" i="2" s="1"/>
  <c r="L211" i="2"/>
  <c r="L238" i="2"/>
  <c r="N155" i="1"/>
  <c r="L263" i="2"/>
  <c r="L267" i="2" s="1"/>
  <c r="L258" i="2"/>
  <c r="V9" i="1"/>
  <c r="Z14" i="1"/>
  <c r="O29" i="3"/>
  <c r="O26" i="3" s="1"/>
  <c r="O30" i="3" s="1"/>
  <c r="U107" i="5" s="1"/>
  <c r="P116" i="2"/>
  <c r="Q117" i="2"/>
  <c r="Q121" i="2" s="1"/>
  <c r="Q131" i="2"/>
  <c r="T189" i="2"/>
  <c r="AD150" i="1"/>
  <c r="AB206" i="2"/>
  <c r="AB233" i="2"/>
  <c r="R81" i="2"/>
  <c r="R80" i="2" s="1"/>
  <c r="Q252" i="2" s="1"/>
  <c r="R76" i="2"/>
  <c r="V144" i="1"/>
  <c r="U113" i="2"/>
  <c r="U118" i="2" s="1"/>
  <c r="U122" i="2" s="1"/>
  <c r="T35" i="1"/>
  <c r="Q173" i="2"/>
  <c r="AD51" i="1"/>
  <c r="AA181" i="2"/>
  <c r="R66" i="1"/>
  <c r="P93" i="2"/>
  <c r="P133" i="2" s="1"/>
  <c r="AA155" i="2"/>
  <c r="Z159" i="2"/>
  <c r="Z163" i="2" s="1"/>
  <c r="T34" i="1"/>
  <c r="Q172" i="2"/>
  <c r="O161" i="2"/>
  <c r="O160" i="2" s="1"/>
  <c r="O156" i="2"/>
  <c r="W153" i="1"/>
  <c r="U209" i="2"/>
  <c r="U236" i="2"/>
  <c r="R130" i="1"/>
  <c r="P194" i="2"/>
  <c r="P218" i="2"/>
  <c r="V146" i="1"/>
  <c r="U115" i="2"/>
  <c r="U119" i="2" s="1"/>
  <c r="U123" i="2" s="1"/>
  <c r="P137" i="2"/>
  <c r="P89" i="2"/>
  <c r="P97" i="2" s="1"/>
  <c r="P101" i="2" s="1"/>
  <c r="Y150" i="2"/>
  <c r="X57" i="1"/>
  <c r="U187" i="2"/>
  <c r="AD33" i="1"/>
  <c r="AA171" i="2"/>
  <c r="T37" i="1"/>
  <c r="Q175" i="2"/>
  <c r="O141" i="2"/>
  <c r="V69" i="2"/>
  <c r="S122" i="1"/>
  <c r="R91" i="2"/>
  <c r="S133" i="1"/>
  <c r="Q197" i="2"/>
  <c r="Q221" i="2"/>
  <c r="P151" i="2"/>
  <c r="P157" i="2" s="1"/>
  <c r="AE31" i="1"/>
  <c r="AB169" i="2"/>
  <c r="AA153" i="2"/>
  <c r="Z158" i="2"/>
  <c r="Z162" i="2" s="1"/>
  <c r="R68" i="1"/>
  <c r="P95" i="2"/>
  <c r="X54" i="1"/>
  <c r="U184" i="2"/>
  <c r="Y53" i="1"/>
  <c r="V183" i="2"/>
  <c r="T36" i="1"/>
  <c r="Q174" i="2"/>
  <c r="X58" i="1"/>
  <c r="U188" i="2"/>
  <c r="X56" i="1"/>
  <c r="U186" i="2"/>
  <c r="AE52" i="1"/>
  <c r="AE101" i="1" s="1"/>
  <c r="AB182" i="2"/>
  <c r="T38" i="1"/>
  <c r="Q176" i="2"/>
  <c r="X55" i="1"/>
  <c r="U185" i="2"/>
  <c r="P177" i="2"/>
  <c r="AG32" i="1"/>
  <c r="AG72" i="1" s="1"/>
  <c r="AD170" i="2"/>
  <c r="Q5" i="2"/>
  <c r="R21" i="2" s="1"/>
  <c r="R20" i="2" s="1"/>
  <c r="P4" i="2"/>
  <c r="R90" i="1"/>
  <c r="R119" i="1"/>
  <c r="R139" i="1" s="1"/>
  <c r="R159" i="1" s="1"/>
  <c r="R164" i="1" s="1"/>
  <c r="S22" i="1"/>
  <c r="S160" i="1" s="1"/>
  <c r="R62" i="1"/>
  <c r="Q129" i="2" s="1"/>
  <c r="V141" i="1"/>
  <c r="R142" i="1"/>
  <c r="X48" i="1"/>
  <c r="W97" i="1"/>
  <c r="S93" i="1"/>
  <c r="R111" i="2" s="1"/>
  <c r="S165" i="1"/>
  <c r="W92" i="1"/>
  <c r="V110" i="2" s="1"/>
  <c r="X46" i="1"/>
  <c r="W95" i="1"/>
  <c r="X47" i="1"/>
  <c r="X96" i="1" s="1"/>
  <c r="W114" i="2" s="1"/>
  <c r="W42" i="1"/>
  <c r="W91" i="1" s="1"/>
  <c r="V109" i="2" s="1"/>
  <c r="X45" i="1"/>
  <c r="X94" i="1" s="1"/>
  <c r="W112" i="2" s="1"/>
  <c r="U17" i="1"/>
  <c r="T44" i="1"/>
  <c r="S71" i="2" s="1"/>
  <c r="S77" i="2" s="1"/>
  <c r="T28" i="1"/>
  <c r="S135" i="2" s="1"/>
  <c r="S61" i="1"/>
  <c r="T21" i="1"/>
  <c r="R86" i="5"/>
  <c r="Q103" i="5" s="1"/>
  <c r="R70" i="5"/>
  <c r="R22" i="3"/>
  <c r="R13" i="3" s="1"/>
  <c r="O60" i="2"/>
  <c r="O56" i="2"/>
  <c r="U24" i="1"/>
  <c r="W315" i="1"/>
  <c r="Q55" i="2"/>
  <c r="P59" i="2"/>
  <c r="P63" i="2" s="1"/>
  <c r="S51" i="2"/>
  <c r="T64" i="1"/>
  <c r="S20" i="4"/>
  <c r="T4" i="4"/>
  <c r="Q53" i="2"/>
  <c r="P58" i="2"/>
  <c r="P62" i="2" s="1"/>
  <c r="T310" i="1"/>
  <c r="U301" i="1"/>
  <c r="Q27" i="3"/>
  <c r="S56" i="5"/>
  <c r="T4" i="5"/>
  <c r="T15" i="3"/>
  <c r="S19" i="3"/>
  <c r="T130" i="2"/>
  <c r="K257" i="2"/>
  <c r="J274" i="2"/>
  <c r="P57" i="2"/>
  <c r="P61" i="2" s="1"/>
  <c r="Q49" i="2"/>
  <c r="U52" i="2"/>
  <c r="T25" i="3"/>
  <c r="S23" i="3"/>
  <c r="V42" i="4"/>
  <c r="U43" i="4"/>
  <c r="S54" i="2"/>
  <c r="U50" i="2"/>
  <c r="P105" i="1" l="1"/>
  <c r="P103" i="1"/>
  <c r="C75" i="8"/>
  <c r="C70" i="8"/>
  <c r="P102" i="1"/>
  <c r="P106" i="1"/>
  <c r="P107" i="1"/>
  <c r="R217" i="2"/>
  <c r="T71" i="1"/>
  <c r="Q193" i="2"/>
  <c r="S129" i="1"/>
  <c r="AA9" i="2"/>
  <c r="AB25" i="2" s="1"/>
  <c r="Q120" i="2"/>
  <c r="C13" i="13"/>
  <c r="D13" i="13" s="1"/>
  <c r="F13" i="13" s="1"/>
  <c r="P126" i="2"/>
  <c r="P125" i="2"/>
  <c r="E14" i="13"/>
  <c r="O156" i="1"/>
  <c r="M212" i="2"/>
  <c r="M239" i="2"/>
  <c r="N246" i="2"/>
  <c r="N280" i="2" s="1"/>
  <c r="O155" i="1"/>
  <c r="M211" i="2"/>
  <c r="M238" i="2"/>
  <c r="M207" i="2"/>
  <c r="M234" i="2"/>
  <c r="O151" i="1"/>
  <c r="M235" i="2"/>
  <c r="O152" i="1"/>
  <c r="M208" i="2"/>
  <c r="O154" i="1"/>
  <c r="M237" i="2"/>
  <c r="M210" i="2"/>
  <c r="M263" i="2"/>
  <c r="M267" i="2" s="1"/>
  <c r="M258" i="2"/>
  <c r="W9" i="1"/>
  <c r="AA14" i="1"/>
  <c r="P29" i="3"/>
  <c r="P26" i="3" s="1"/>
  <c r="P30" i="3" s="1"/>
  <c r="V107" i="5" s="1"/>
  <c r="Q116" i="2"/>
  <c r="R117" i="2"/>
  <c r="R121" i="2" s="1"/>
  <c r="R131" i="2"/>
  <c r="U189" i="2"/>
  <c r="X153" i="1"/>
  <c r="V209" i="2"/>
  <c r="V236" i="2"/>
  <c r="U38" i="1"/>
  <c r="R176" i="2"/>
  <c r="Y56" i="1"/>
  <c r="V186" i="2"/>
  <c r="U36" i="1"/>
  <c r="R174" i="2"/>
  <c r="U37" i="1"/>
  <c r="R175" i="2"/>
  <c r="Y57" i="1"/>
  <c r="V187" i="2"/>
  <c r="P141" i="2"/>
  <c r="T122" i="1"/>
  <c r="S91" i="2"/>
  <c r="S81" i="2"/>
  <c r="S80" i="2" s="1"/>
  <c r="R252" i="2" s="1"/>
  <c r="S76" i="2"/>
  <c r="W146" i="1"/>
  <c r="V115" i="2"/>
  <c r="V119" i="2" s="1"/>
  <c r="V123" i="2" s="1"/>
  <c r="AH32" i="1"/>
  <c r="AH72" i="1" s="1"/>
  <c r="AE170" i="2"/>
  <c r="Y54" i="1"/>
  <c r="V184" i="2"/>
  <c r="AB153" i="2"/>
  <c r="AA158" i="2"/>
  <c r="AA162" i="2" s="1"/>
  <c r="P161" i="2"/>
  <c r="P160" i="2" s="1"/>
  <c r="P156" i="2"/>
  <c r="AB155" i="2"/>
  <c r="AA159" i="2"/>
  <c r="AA163" i="2" s="1"/>
  <c r="AE51" i="1"/>
  <c r="AB181" i="2"/>
  <c r="T133" i="1"/>
  <c r="R197" i="2"/>
  <c r="R221" i="2"/>
  <c r="S130" i="1"/>
  <c r="Q218" i="2"/>
  <c r="Q194" i="2"/>
  <c r="Q137" i="2"/>
  <c r="Q89" i="2"/>
  <c r="Q97" i="2" s="1"/>
  <c r="Q101" i="2" s="1"/>
  <c r="Y55" i="1"/>
  <c r="V185" i="2"/>
  <c r="AF52" i="1"/>
  <c r="AF101" i="1" s="1"/>
  <c r="AC182" i="2"/>
  <c r="Y58" i="1"/>
  <c r="V188" i="2"/>
  <c r="Z53" i="1"/>
  <c r="W183" i="2"/>
  <c r="W69" i="2"/>
  <c r="AE33" i="1"/>
  <c r="AB171" i="2"/>
  <c r="Z150" i="2"/>
  <c r="Q177" i="2"/>
  <c r="AE150" i="1"/>
  <c r="AC233" i="2"/>
  <c r="AC206" i="2"/>
  <c r="W144" i="1"/>
  <c r="V113" i="2"/>
  <c r="V118" i="2" s="1"/>
  <c r="V122" i="2" s="1"/>
  <c r="Q151" i="2"/>
  <c r="Q157" i="2" s="1"/>
  <c r="S68" i="1"/>
  <c r="Q95" i="2"/>
  <c r="AF31" i="1"/>
  <c r="AC169" i="2"/>
  <c r="U34" i="1"/>
  <c r="R172" i="2"/>
  <c r="S66" i="1"/>
  <c r="Q93" i="2"/>
  <c r="Q133" i="2" s="1"/>
  <c r="U35" i="1"/>
  <c r="R173" i="2"/>
  <c r="S90" i="1"/>
  <c r="S119" i="1"/>
  <c r="S139" i="1" s="1"/>
  <c r="S159" i="1" s="1"/>
  <c r="S164" i="1" s="1"/>
  <c r="T22" i="1"/>
  <c r="S62" i="1"/>
  <c r="R129" i="2" s="1"/>
  <c r="Q4" i="2"/>
  <c r="R5" i="2"/>
  <c r="S21" i="2" s="1"/>
  <c r="S20" i="2" s="1"/>
  <c r="W141" i="1"/>
  <c r="S142" i="1"/>
  <c r="X92" i="1"/>
  <c r="W110" i="2" s="1"/>
  <c r="T93" i="1"/>
  <c r="S111" i="2" s="1"/>
  <c r="T165" i="1"/>
  <c r="Y46" i="1"/>
  <c r="X95" i="1"/>
  <c r="Y47" i="1"/>
  <c r="Y96" i="1" s="1"/>
  <c r="X114" i="2" s="1"/>
  <c r="Y48" i="1"/>
  <c r="X97" i="1"/>
  <c r="X42" i="1"/>
  <c r="X91" i="1" s="1"/>
  <c r="W109" i="2" s="1"/>
  <c r="Y45" i="1"/>
  <c r="Y94" i="1" s="1"/>
  <c r="X112" i="2" s="1"/>
  <c r="V17" i="1"/>
  <c r="U44" i="1"/>
  <c r="T71" i="2" s="1"/>
  <c r="T77" i="2" s="1"/>
  <c r="U28" i="1"/>
  <c r="T135" i="2" s="1"/>
  <c r="T54" i="2"/>
  <c r="V301" i="1"/>
  <c r="U310" i="1"/>
  <c r="S22" i="3"/>
  <c r="S13" i="3" s="1"/>
  <c r="K274" i="2"/>
  <c r="L257" i="2"/>
  <c r="V50" i="2"/>
  <c r="Q57" i="2"/>
  <c r="Q61" i="2" s="1"/>
  <c r="R49" i="2"/>
  <c r="U15" i="3"/>
  <c r="T19" i="3"/>
  <c r="T56" i="5"/>
  <c r="U4" i="5"/>
  <c r="T20" i="4"/>
  <c r="U4" i="4"/>
  <c r="X315" i="1"/>
  <c r="V24" i="1"/>
  <c r="T51" i="2"/>
  <c r="U64" i="1"/>
  <c r="W42" i="4"/>
  <c r="V43" i="4"/>
  <c r="U25" i="3"/>
  <c r="T23" i="3"/>
  <c r="V52" i="2"/>
  <c r="P56" i="2"/>
  <c r="P60" i="2"/>
  <c r="U130" i="2"/>
  <c r="S70" i="5"/>
  <c r="S86" i="5"/>
  <c r="R103" i="5" s="1"/>
  <c r="R27" i="3"/>
  <c r="R53" i="2"/>
  <c r="Q58" i="2"/>
  <c r="Q62" i="2" s="1"/>
  <c r="R55" i="2"/>
  <c r="Q59" i="2"/>
  <c r="Q63" i="2" s="1"/>
  <c r="U21" i="1"/>
  <c r="T61" i="1"/>
  <c r="Q103" i="1" l="1"/>
  <c r="Q105" i="1"/>
  <c r="Q102" i="1"/>
  <c r="Q106" i="1"/>
  <c r="Q107" i="1"/>
  <c r="T129" i="1"/>
  <c r="R193" i="2"/>
  <c r="U71" i="1"/>
  <c r="S217" i="2"/>
  <c r="AB9" i="2"/>
  <c r="AC25" i="2" s="1"/>
  <c r="C14" i="13"/>
  <c r="D14" i="13" s="1"/>
  <c r="F14" i="13" s="1"/>
  <c r="Q126" i="2"/>
  <c r="Q125" i="2"/>
  <c r="R120" i="2"/>
  <c r="R124" i="2" s="1"/>
  <c r="Q124" i="2"/>
  <c r="E15" i="13"/>
  <c r="P154" i="1"/>
  <c r="N210" i="2"/>
  <c r="N237" i="2"/>
  <c r="O246" i="2"/>
  <c r="O280" i="2" s="1"/>
  <c r="P152" i="1"/>
  <c r="N208" i="2"/>
  <c r="N235" i="2"/>
  <c r="P156" i="1"/>
  <c r="N212" i="2"/>
  <c r="N239" i="2"/>
  <c r="N211" i="2"/>
  <c r="N238" i="2"/>
  <c r="P155" i="1"/>
  <c r="N234" i="2"/>
  <c r="N207" i="2"/>
  <c r="P151" i="1"/>
  <c r="R116" i="2"/>
  <c r="N263" i="2"/>
  <c r="N267" i="2" s="1"/>
  <c r="N258" i="2"/>
  <c r="X9" i="1"/>
  <c r="AB14" i="1"/>
  <c r="Q29" i="3"/>
  <c r="Q26" i="3" s="1"/>
  <c r="Q30" i="3" s="1"/>
  <c r="W107" i="5" s="1"/>
  <c r="S131" i="2"/>
  <c r="S117" i="2"/>
  <c r="S121" i="2" s="1"/>
  <c r="V189" i="2"/>
  <c r="U122" i="1"/>
  <c r="T91" i="2"/>
  <c r="R151" i="2"/>
  <c r="R157" i="2" s="1"/>
  <c r="V35" i="1"/>
  <c r="S173" i="2"/>
  <c r="V34" i="1"/>
  <c r="S172" i="2"/>
  <c r="T68" i="1"/>
  <c r="R95" i="2"/>
  <c r="Z58" i="1"/>
  <c r="W188" i="2"/>
  <c r="Z55" i="1"/>
  <c r="W185" i="2"/>
  <c r="AC155" i="2"/>
  <c r="AB159" i="2"/>
  <c r="AB163" i="2" s="1"/>
  <c r="AC153" i="2"/>
  <c r="AB158" i="2"/>
  <c r="AB162" i="2" s="1"/>
  <c r="V37" i="1"/>
  <c r="S175" i="2"/>
  <c r="Z56" i="1"/>
  <c r="W186" i="2"/>
  <c r="Y153" i="1"/>
  <c r="W209" i="2"/>
  <c r="W236" i="2"/>
  <c r="AF150" i="1"/>
  <c r="AD206" i="2"/>
  <c r="AD233" i="2"/>
  <c r="R137" i="2"/>
  <c r="R89" i="2"/>
  <c r="R97" i="2" s="1"/>
  <c r="R101" i="2" s="1"/>
  <c r="Q161" i="2"/>
  <c r="Q160" i="2" s="1"/>
  <c r="Q156" i="2"/>
  <c r="AF33" i="1"/>
  <c r="AC171" i="2"/>
  <c r="AI32" i="1"/>
  <c r="AI72" i="1" s="1"/>
  <c r="AF170" i="2"/>
  <c r="T130" i="1"/>
  <c r="R194" i="2"/>
  <c r="R218" i="2"/>
  <c r="X144" i="1"/>
  <c r="W113" i="2"/>
  <c r="W118" i="2" s="1"/>
  <c r="W122" i="2" s="1"/>
  <c r="T66" i="1"/>
  <c r="R93" i="2"/>
  <c r="R133" i="2" s="1"/>
  <c r="AG31" i="1"/>
  <c r="AD169" i="2"/>
  <c r="X69" i="2"/>
  <c r="AA53" i="1"/>
  <c r="X183" i="2"/>
  <c r="AG52" i="1"/>
  <c r="AG101" i="1" s="1"/>
  <c r="AD182" i="2"/>
  <c r="Q141" i="2"/>
  <c r="AF51" i="1"/>
  <c r="AC181" i="2"/>
  <c r="Z54" i="1"/>
  <c r="W184" i="2"/>
  <c r="Z57" i="1"/>
  <c r="W187" i="2"/>
  <c r="V36" i="1"/>
  <c r="S174" i="2"/>
  <c r="V38" i="1"/>
  <c r="S176" i="2"/>
  <c r="T81" i="2"/>
  <c r="T80" i="2" s="1"/>
  <c r="S252" i="2" s="1"/>
  <c r="T76" i="2"/>
  <c r="U133" i="1"/>
  <c r="S197" i="2"/>
  <c r="S221" i="2"/>
  <c r="X146" i="1"/>
  <c r="W115" i="2"/>
  <c r="W119" i="2" s="1"/>
  <c r="W123" i="2" s="1"/>
  <c r="R177" i="2"/>
  <c r="AA150" i="2"/>
  <c r="R4" i="2"/>
  <c r="S5" i="2"/>
  <c r="T21" i="2" s="1"/>
  <c r="T20" i="2" s="1"/>
  <c r="U22" i="1"/>
  <c r="U160" i="1" s="1"/>
  <c r="T62" i="1"/>
  <c r="S129" i="2" s="1"/>
  <c r="T90" i="1"/>
  <c r="T119" i="1"/>
  <c r="T139" i="1" s="1"/>
  <c r="T159" i="1" s="1"/>
  <c r="T164" i="1" s="1"/>
  <c r="T160" i="1"/>
  <c r="X141" i="1"/>
  <c r="T142" i="1"/>
  <c r="U93" i="1"/>
  <c r="T111" i="2" s="1"/>
  <c r="U165" i="1"/>
  <c r="Z48" i="1"/>
  <c r="Y97" i="1"/>
  <c r="Z46" i="1"/>
  <c r="Y95" i="1"/>
  <c r="Z47" i="1"/>
  <c r="Z96" i="1" s="1"/>
  <c r="Y114" i="2" s="1"/>
  <c r="Y92" i="1"/>
  <c r="X110" i="2" s="1"/>
  <c r="Y42" i="1"/>
  <c r="Y91" i="1" s="1"/>
  <c r="X109" i="2" s="1"/>
  <c r="Z45" i="1"/>
  <c r="Z94" i="1" s="1"/>
  <c r="Y112" i="2" s="1"/>
  <c r="W17" i="1"/>
  <c r="V44" i="1"/>
  <c r="U71" i="2" s="1"/>
  <c r="U77" i="2" s="1"/>
  <c r="V28" i="1"/>
  <c r="U135" i="2" s="1"/>
  <c r="V4" i="5"/>
  <c r="U56" i="5"/>
  <c r="R57" i="2"/>
  <c r="R61" i="2" s="1"/>
  <c r="S49" i="2"/>
  <c r="U61" i="1"/>
  <c r="V21" i="1"/>
  <c r="S53" i="2"/>
  <c r="R58" i="2"/>
  <c r="R62" i="2" s="1"/>
  <c r="W52" i="2"/>
  <c r="U51" i="2"/>
  <c r="V64" i="1"/>
  <c r="U54" i="2"/>
  <c r="S27" i="3"/>
  <c r="Y315" i="1"/>
  <c r="T86" i="5"/>
  <c r="S103" i="5" s="1"/>
  <c r="T70" i="5"/>
  <c r="Q60" i="2"/>
  <c r="Q56" i="2"/>
  <c r="W50" i="2"/>
  <c r="L274" i="2"/>
  <c r="M257" i="2"/>
  <c r="T22" i="3"/>
  <c r="T13" i="3" s="1"/>
  <c r="V310" i="1"/>
  <c r="W301" i="1"/>
  <c r="X42" i="4"/>
  <c r="W43" i="4"/>
  <c r="V130" i="2"/>
  <c r="S55" i="2"/>
  <c r="R59" i="2"/>
  <c r="R63" i="2" s="1"/>
  <c r="V25" i="3"/>
  <c r="U23" i="3"/>
  <c r="W24" i="1"/>
  <c r="U20" i="4"/>
  <c r="V4" i="4"/>
  <c r="V15" i="3"/>
  <c r="U19" i="3"/>
  <c r="R103" i="1" l="1"/>
  <c r="R105" i="1"/>
  <c r="R102" i="1"/>
  <c r="R106" i="1"/>
  <c r="R107" i="1"/>
  <c r="S193" i="2"/>
  <c r="U129" i="1"/>
  <c r="AC9" i="2"/>
  <c r="AD25" i="2" s="1"/>
  <c r="C15" i="13"/>
  <c r="D15" i="13" s="1"/>
  <c r="F15" i="13" s="1"/>
  <c r="R126" i="2"/>
  <c r="R125" i="2"/>
  <c r="S120" i="2"/>
  <c r="S124" i="2" s="1"/>
  <c r="E16" i="13"/>
  <c r="O210" i="2"/>
  <c r="O237" i="2"/>
  <c r="Q154" i="1"/>
  <c r="Q155" i="1"/>
  <c r="O211" i="2"/>
  <c r="O238" i="2"/>
  <c r="O207" i="2"/>
  <c r="O234" i="2"/>
  <c r="Q151" i="1"/>
  <c r="P246" i="2"/>
  <c r="P280" i="2" s="1"/>
  <c r="O212" i="2"/>
  <c r="O239" i="2"/>
  <c r="Q156" i="1"/>
  <c r="Q152" i="1"/>
  <c r="O235" i="2"/>
  <c r="O208" i="2"/>
  <c r="AG170" i="2"/>
  <c r="O263" i="2"/>
  <c r="O267" i="2" s="1"/>
  <c r="O258" i="2"/>
  <c r="Y9" i="1"/>
  <c r="AC14" i="1"/>
  <c r="R29" i="3"/>
  <c r="R26" i="3" s="1"/>
  <c r="R30" i="3" s="1"/>
  <c r="X107" i="5" s="1"/>
  <c r="S116" i="2"/>
  <c r="T117" i="2"/>
  <c r="T116" i="2" s="1"/>
  <c r="T131" i="2"/>
  <c r="W189" i="2"/>
  <c r="AB150" i="2"/>
  <c r="AA56" i="1"/>
  <c r="X186" i="2"/>
  <c r="AD153" i="2"/>
  <c r="AC158" i="2"/>
  <c r="AC162" i="2" s="1"/>
  <c r="AA55" i="1"/>
  <c r="X185" i="2"/>
  <c r="U68" i="1"/>
  <c r="S95" i="2"/>
  <c r="W35" i="1"/>
  <c r="T173" i="2"/>
  <c r="V133" i="1"/>
  <c r="T221" i="2"/>
  <c r="T197" i="2"/>
  <c r="U130" i="1"/>
  <c r="S194" i="2"/>
  <c r="S218" i="2"/>
  <c r="AG150" i="1"/>
  <c r="AE206" i="2"/>
  <c r="AE233" i="2"/>
  <c r="Y144" i="1"/>
  <c r="X113" i="2"/>
  <c r="X118" i="2" s="1"/>
  <c r="X122" i="2" s="1"/>
  <c r="S137" i="2"/>
  <c r="S89" i="2"/>
  <c r="S97" i="2" s="1"/>
  <c r="S101" i="2" s="1"/>
  <c r="W36" i="1"/>
  <c r="T174" i="2"/>
  <c r="AA54" i="1"/>
  <c r="X184" i="2"/>
  <c r="AB53" i="1"/>
  <c r="Y183" i="2"/>
  <c r="AH31" i="1"/>
  <c r="AE169" i="2"/>
  <c r="AG33" i="1"/>
  <c r="AD171" i="2"/>
  <c r="S177" i="2"/>
  <c r="R161" i="2"/>
  <c r="R160" i="2" s="1"/>
  <c r="R156" i="2"/>
  <c r="U81" i="2"/>
  <c r="U80" i="2" s="1"/>
  <c r="T252" i="2" s="1"/>
  <c r="U76" i="2"/>
  <c r="Z153" i="1"/>
  <c r="X236" i="2"/>
  <c r="X209" i="2"/>
  <c r="R141" i="2"/>
  <c r="W37" i="1"/>
  <c r="T175" i="2"/>
  <c r="AD155" i="2"/>
  <c r="AC159" i="2"/>
  <c r="AC163" i="2" s="1"/>
  <c r="AA58" i="1"/>
  <c r="X188" i="2"/>
  <c r="W34" i="1"/>
  <c r="T172" i="2"/>
  <c r="V122" i="1"/>
  <c r="U91" i="2"/>
  <c r="Y146" i="1"/>
  <c r="X115" i="2"/>
  <c r="X119" i="2" s="1"/>
  <c r="X123" i="2" s="1"/>
  <c r="S151" i="2"/>
  <c r="S157" i="2" s="1"/>
  <c r="W38" i="1"/>
  <c r="T176" i="2"/>
  <c r="AA57" i="1"/>
  <c r="X187" i="2"/>
  <c r="AG51" i="1"/>
  <c r="AD181" i="2"/>
  <c r="AH52" i="1"/>
  <c r="AH101" i="1" s="1"/>
  <c r="AE182" i="2"/>
  <c r="Y69" i="2"/>
  <c r="U66" i="1"/>
  <c r="S93" i="2"/>
  <c r="S133" i="2" s="1"/>
  <c r="S4" i="2"/>
  <c r="T5" i="2"/>
  <c r="U21" i="2" s="1"/>
  <c r="U20" i="2" s="1"/>
  <c r="V22" i="1"/>
  <c r="V160" i="1" s="1"/>
  <c r="U62" i="1"/>
  <c r="T129" i="2" s="1"/>
  <c r="U90" i="1"/>
  <c r="U119" i="1"/>
  <c r="U139" i="1" s="1"/>
  <c r="U159" i="1" s="1"/>
  <c r="U164" i="1" s="1"/>
  <c r="Y141" i="1"/>
  <c r="U142" i="1"/>
  <c r="Z92" i="1"/>
  <c r="Y110" i="2" s="1"/>
  <c r="AA48" i="1"/>
  <c r="Z97" i="1"/>
  <c r="V93" i="1"/>
  <c r="U111" i="2" s="1"/>
  <c r="V165" i="1"/>
  <c r="AA46" i="1"/>
  <c r="Z95" i="1"/>
  <c r="AA47" i="1"/>
  <c r="AA96" i="1" s="1"/>
  <c r="Z114" i="2" s="1"/>
  <c r="Z42" i="1"/>
  <c r="Z91" i="1" s="1"/>
  <c r="Y109" i="2" s="1"/>
  <c r="AA45" i="1"/>
  <c r="AA94" i="1" s="1"/>
  <c r="Z112" i="2" s="1"/>
  <c r="X17" i="1"/>
  <c r="W44" i="1"/>
  <c r="V71" i="2" s="1"/>
  <c r="V77" i="2" s="1"/>
  <c r="W28" i="1"/>
  <c r="V135" i="2" s="1"/>
  <c r="Y42" i="4"/>
  <c r="X43" i="4"/>
  <c r="W15" i="3"/>
  <c r="V19" i="3"/>
  <c r="V51" i="2"/>
  <c r="W64" i="1"/>
  <c r="X52" i="2"/>
  <c r="T53" i="2"/>
  <c r="S58" i="2"/>
  <c r="S62" i="2" s="1"/>
  <c r="W4" i="5"/>
  <c r="V56" i="5"/>
  <c r="V20" i="4"/>
  <c r="W4" i="4"/>
  <c r="W25" i="3"/>
  <c r="V23" i="3"/>
  <c r="W130" i="2"/>
  <c r="Z315" i="1"/>
  <c r="R60" i="2"/>
  <c r="R56" i="2"/>
  <c r="X50" i="2"/>
  <c r="T27" i="3"/>
  <c r="V54" i="2"/>
  <c r="V61" i="1"/>
  <c r="W21" i="1"/>
  <c r="T49" i="2"/>
  <c r="S57" i="2"/>
  <c r="S61" i="2" s="1"/>
  <c r="X24" i="1"/>
  <c r="T55" i="2"/>
  <c r="S59" i="2"/>
  <c r="S63" i="2" s="1"/>
  <c r="W310" i="1"/>
  <c r="X301" i="1"/>
  <c r="U22" i="3"/>
  <c r="U13" i="3" s="1"/>
  <c r="M274" i="2"/>
  <c r="N257" i="2"/>
  <c r="U86" i="5"/>
  <c r="T103" i="5" s="1"/>
  <c r="U70" i="5"/>
  <c r="S103" i="1" l="1"/>
  <c r="S105" i="1"/>
  <c r="S102" i="1"/>
  <c r="S106" i="1"/>
  <c r="S107" i="1"/>
  <c r="AD9" i="2"/>
  <c r="AE25" i="2" s="1"/>
  <c r="C16" i="13"/>
  <c r="D16" i="13" s="1"/>
  <c r="F16" i="13" s="1"/>
  <c r="S126" i="2"/>
  <c r="S125" i="2"/>
  <c r="E17" i="13"/>
  <c r="P210" i="2"/>
  <c r="P237" i="2"/>
  <c r="R154" i="1"/>
  <c r="P212" i="2"/>
  <c r="P239" i="2"/>
  <c r="R156" i="1"/>
  <c r="P238" i="2"/>
  <c r="R155" i="1"/>
  <c r="P211" i="2"/>
  <c r="Q246" i="2"/>
  <c r="Q280" i="2" s="1"/>
  <c r="R152" i="1"/>
  <c r="P208" i="2"/>
  <c r="P235" i="2"/>
  <c r="P234" i="2"/>
  <c r="R151" i="1"/>
  <c r="P207" i="2"/>
  <c r="T121" i="2"/>
  <c r="P263" i="2"/>
  <c r="P267" i="2" s="1"/>
  <c r="P258" i="2"/>
  <c r="Z9" i="1"/>
  <c r="AD14" i="1"/>
  <c r="S29" i="3"/>
  <c r="S26" i="3" s="1"/>
  <c r="S30" i="3" s="1"/>
  <c r="Y107" i="5" s="1"/>
  <c r="U131" i="2"/>
  <c r="U117" i="2"/>
  <c r="U121" i="2" s="1"/>
  <c r="X189" i="2"/>
  <c r="Z69" i="2"/>
  <c r="V81" i="2"/>
  <c r="V80" i="2" s="1"/>
  <c r="U252" i="2" s="1"/>
  <c r="V76" i="2"/>
  <c r="Z144" i="1"/>
  <c r="Y113" i="2"/>
  <c r="Y118" i="2" s="1"/>
  <c r="Y122" i="2" s="1"/>
  <c r="Z146" i="1"/>
  <c r="Y115" i="2"/>
  <c r="Y119" i="2" s="1"/>
  <c r="Y123" i="2" s="1"/>
  <c r="T151" i="2"/>
  <c r="T157" i="2" s="1"/>
  <c r="S161" i="2"/>
  <c r="S160" i="2" s="1"/>
  <c r="S156" i="2"/>
  <c r="AI31" i="1"/>
  <c r="AG169" i="2" s="1"/>
  <c r="AF169" i="2"/>
  <c r="AB54" i="1"/>
  <c r="Y184" i="2"/>
  <c r="S141" i="2"/>
  <c r="V68" i="1"/>
  <c r="T95" i="2"/>
  <c r="AE153" i="2"/>
  <c r="AD158" i="2"/>
  <c r="AD162" i="2" s="1"/>
  <c r="AH150" i="1"/>
  <c r="AF206" i="2"/>
  <c r="AF233" i="2"/>
  <c r="X38" i="1"/>
  <c r="U176" i="2"/>
  <c r="AE155" i="2"/>
  <c r="AD159" i="2"/>
  <c r="AD163" i="2" s="1"/>
  <c r="W133" i="1"/>
  <c r="U197" i="2"/>
  <c r="U221" i="2"/>
  <c r="V130" i="1"/>
  <c r="T194" i="2"/>
  <c r="T218" i="2"/>
  <c r="T137" i="2"/>
  <c r="T89" i="2"/>
  <c r="T97" i="2" s="1"/>
  <c r="T101" i="2" s="1"/>
  <c r="V66" i="1"/>
  <c r="T93" i="2"/>
  <c r="T133" i="2" s="1"/>
  <c r="AI52" i="1"/>
  <c r="AI101" i="1" s="1"/>
  <c r="AF182" i="2"/>
  <c r="AB57" i="1"/>
  <c r="Y187" i="2"/>
  <c r="AB58" i="1"/>
  <c r="Y188" i="2"/>
  <c r="X37" i="1"/>
  <c r="U175" i="2"/>
  <c r="W122" i="1"/>
  <c r="V91" i="2"/>
  <c r="AH51" i="1"/>
  <c r="AE181" i="2"/>
  <c r="X34" i="1"/>
  <c r="U172" i="2"/>
  <c r="AA153" i="1"/>
  <c r="Y209" i="2"/>
  <c r="Y236" i="2"/>
  <c r="T177" i="2"/>
  <c r="AH33" i="1"/>
  <c r="AE171" i="2"/>
  <c r="AC53" i="1"/>
  <c r="Z183" i="2"/>
  <c r="X36" i="1"/>
  <c r="U174" i="2"/>
  <c r="X35" i="1"/>
  <c r="U173" i="2"/>
  <c r="AB55" i="1"/>
  <c r="Y185" i="2"/>
  <c r="AB56" i="1"/>
  <c r="Y186" i="2"/>
  <c r="AC150" i="2"/>
  <c r="V90" i="1"/>
  <c r="V119" i="1"/>
  <c r="V139" i="1" s="1"/>
  <c r="V159" i="1" s="1"/>
  <c r="V164" i="1" s="1"/>
  <c r="T4" i="2"/>
  <c r="U5" i="2"/>
  <c r="V21" i="2" s="1"/>
  <c r="V20" i="2" s="1"/>
  <c r="W22" i="1"/>
  <c r="W160" i="1" s="1"/>
  <c r="V62" i="1"/>
  <c r="U129" i="2" s="1"/>
  <c r="Z141" i="1"/>
  <c r="V142" i="1"/>
  <c r="AB47" i="1"/>
  <c r="AB96" i="1" s="1"/>
  <c r="AA114" i="2" s="1"/>
  <c r="AB48" i="1"/>
  <c r="AA97" i="1"/>
  <c r="AB46" i="1"/>
  <c r="AA95" i="1"/>
  <c r="W93" i="1"/>
  <c r="V111" i="2" s="1"/>
  <c r="W165" i="1"/>
  <c r="AA92" i="1"/>
  <c r="Z110" i="2" s="1"/>
  <c r="AA42" i="1"/>
  <c r="AA91" i="1" s="1"/>
  <c r="Z109" i="2" s="1"/>
  <c r="AB45" i="1"/>
  <c r="AB94" i="1" s="1"/>
  <c r="AA112" i="2" s="1"/>
  <c r="Y17" i="1"/>
  <c r="X44" i="1"/>
  <c r="W71" i="2" s="1"/>
  <c r="W77" i="2" s="1"/>
  <c r="X28" i="1"/>
  <c r="W135" i="2" s="1"/>
  <c r="AA315" i="1"/>
  <c r="Y52" i="2"/>
  <c r="W61" i="1"/>
  <c r="X21" i="1"/>
  <c r="W56" i="5"/>
  <c r="X4" i="5"/>
  <c r="U53" i="2"/>
  <c r="T58" i="2"/>
  <c r="T62" i="2" s="1"/>
  <c r="X15" i="3"/>
  <c r="W19" i="3"/>
  <c r="Z42" i="4"/>
  <c r="Y43" i="4"/>
  <c r="X310" i="1"/>
  <c r="Y301" i="1"/>
  <c r="U55" i="2"/>
  <c r="T59" i="2"/>
  <c r="T63" i="2" s="1"/>
  <c r="X130" i="2"/>
  <c r="Y24" i="1"/>
  <c r="S60" i="2"/>
  <c r="S56" i="2"/>
  <c r="W54" i="2"/>
  <c r="X25" i="3"/>
  <c r="W23" i="3"/>
  <c r="N274" i="2"/>
  <c r="O257" i="2"/>
  <c r="V22" i="3"/>
  <c r="V13" i="3" s="1"/>
  <c r="W51" i="2"/>
  <c r="X64" i="1"/>
  <c r="T57" i="2"/>
  <c r="T61" i="2" s="1"/>
  <c r="U49" i="2"/>
  <c r="U27" i="3"/>
  <c r="Y50" i="2"/>
  <c r="W20" i="4"/>
  <c r="X4" i="4"/>
  <c r="V86" i="5"/>
  <c r="U103" i="5" s="1"/>
  <c r="V70" i="5"/>
  <c r="T103" i="1" l="1"/>
  <c r="T105" i="1"/>
  <c r="T102" i="1"/>
  <c r="T107" i="1"/>
  <c r="T106" i="1"/>
  <c r="AE9" i="2"/>
  <c r="AF25" i="2" s="1"/>
  <c r="T120" i="2"/>
  <c r="T124" i="2" s="1"/>
  <c r="U120" i="2"/>
  <c r="E18" i="13"/>
  <c r="Q210" i="2"/>
  <c r="S154" i="1"/>
  <c r="Q237" i="2"/>
  <c r="R246" i="2"/>
  <c r="R280" i="2" s="1"/>
  <c r="Q238" i="2"/>
  <c r="S155" i="1"/>
  <c r="Q211" i="2"/>
  <c r="S151" i="1"/>
  <c r="Q207" i="2"/>
  <c r="Q234" i="2"/>
  <c r="Q208" i="2"/>
  <c r="Q235" i="2"/>
  <c r="S152" i="1"/>
  <c r="S156" i="1"/>
  <c r="Q212" i="2"/>
  <c r="Q239" i="2"/>
  <c r="Q263" i="2"/>
  <c r="Q267" i="2" s="1"/>
  <c r="Q258" i="2"/>
  <c r="AA9" i="1"/>
  <c r="AE14" i="1"/>
  <c r="T29" i="3"/>
  <c r="T26" i="3" s="1"/>
  <c r="T30" i="3" s="1"/>
  <c r="Z107" i="5" s="1"/>
  <c r="U116" i="2"/>
  <c r="V117" i="2"/>
  <c r="V121" i="2" s="1"/>
  <c r="V131" i="2"/>
  <c r="Y189" i="2"/>
  <c r="AA144" i="1"/>
  <c r="Z113" i="2"/>
  <c r="Z118" i="2" s="1"/>
  <c r="Z122" i="2" s="1"/>
  <c r="U137" i="2"/>
  <c r="U89" i="2"/>
  <c r="U97" i="2" s="1"/>
  <c r="U101" i="2" s="1"/>
  <c r="AF153" i="2"/>
  <c r="AE158" i="2"/>
  <c r="AE162" i="2" s="1"/>
  <c r="T161" i="2"/>
  <c r="T160" i="2" s="1"/>
  <c r="T156" i="2"/>
  <c r="W81" i="2"/>
  <c r="W80" i="2" s="1"/>
  <c r="V252" i="2" s="1"/>
  <c r="W76" i="2"/>
  <c r="U151" i="2"/>
  <c r="U157" i="2" s="1"/>
  <c r="AD150" i="2"/>
  <c r="AC55" i="1"/>
  <c r="Z185" i="2"/>
  <c r="Y36" i="1"/>
  <c r="V174" i="2"/>
  <c r="AI33" i="1"/>
  <c r="AF171" i="2"/>
  <c r="AI51" i="1"/>
  <c r="AF181" i="2"/>
  <c r="AC58" i="1"/>
  <c r="Z188" i="2"/>
  <c r="AG182" i="2"/>
  <c r="T141" i="2"/>
  <c r="Y38" i="1"/>
  <c r="V176" i="2"/>
  <c r="AA146" i="1"/>
  <c r="Z115" i="2"/>
  <c r="Z119" i="2" s="1"/>
  <c r="Z123" i="2" s="1"/>
  <c r="U177" i="2"/>
  <c r="W68" i="1"/>
  <c r="U95" i="2"/>
  <c r="X122" i="1"/>
  <c r="W91" i="2"/>
  <c r="X133" i="1"/>
  <c r="V197" i="2"/>
  <c r="V221" i="2"/>
  <c r="AB153" i="1"/>
  <c r="Z209" i="2"/>
  <c r="Z236" i="2"/>
  <c r="W130" i="1"/>
  <c r="U218" i="2"/>
  <c r="U194" i="2"/>
  <c r="AC56" i="1"/>
  <c r="Z186" i="2"/>
  <c r="Y35" i="1"/>
  <c r="V173" i="2"/>
  <c r="AD53" i="1"/>
  <c r="AA183" i="2"/>
  <c r="Y34" i="1"/>
  <c r="V172" i="2"/>
  <c r="Y37" i="1"/>
  <c r="V175" i="2"/>
  <c r="AC57" i="1"/>
  <c r="Z187" i="2"/>
  <c r="W66" i="1"/>
  <c r="U93" i="2"/>
  <c r="U133" i="2" s="1"/>
  <c r="AF155" i="2"/>
  <c r="AE159" i="2"/>
  <c r="AE163" i="2" s="1"/>
  <c r="AC54" i="1"/>
  <c r="Z184" i="2"/>
  <c r="AA69" i="2"/>
  <c r="V5" i="2"/>
  <c r="W21" i="2" s="1"/>
  <c r="W20" i="2" s="1"/>
  <c r="U4" i="2"/>
  <c r="W90" i="1"/>
  <c r="W119" i="1"/>
  <c r="W139" i="1" s="1"/>
  <c r="W159" i="1" s="1"/>
  <c r="W164" i="1" s="1"/>
  <c r="X22" i="1"/>
  <c r="X160" i="1" s="1"/>
  <c r="W62" i="1"/>
  <c r="V129" i="2" s="1"/>
  <c r="AA141" i="1"/>
  <c r="W142" i="1"/>
  <c r="X93" i="1"/>
  <c r="W111" i="2" s="1"/>
  <c r="X165" i="1"/>
  <c r="AC46" i="1"/>
  <c r="AB95" i="1"/>
  <c r="AC48" i="1"/>
  <c r="AB97" i="1"/>
  <c r="AC47" i="1"/>
  <c r="AC96" i="1" s="1"/>
  <c r="AB114" i="2" s="1"/>
  <c r="AB92" i="1"/>
  <c r="AA110" i="2" s="1"/>
  <c r="AB42" i="1"/>
  <c r="AB91" i="1" s="1"/>
  <c r="AA109" i="2" s="1"/>
  <c r="AC45" i="1"/>
  <c r="AC94" i="1" s="1"/>
  <c r="AB112" i="2" s="1"/>
  <c r="Z17" i="1"/>
  <c r="Y44" i="1"/>
  <c r="X71" i="2" s="1"/>
  <c r="X77" i="2" s="1"/>
  <c r="Y28" i="1"/>
  <c r="X135" i="2" s="1"/>
  <c r="O274" i="2"/>
  <c r="P257" i="2"/>
  <c r="Y4" i="4"/>
  <c r="X20" i="4"/>
  <c r="T60" i="2"/>
  <c r="T56" i="2"/>
  <c r="X54" i="2"/>
  <c r="Z24" i="1"/>
  <c r="AA42" i="4"/>
  <c r="Z43" i="4"/>
  <c r="W70" i="5"/>
  <c r="W86" i="5"/>
  <c r="V103" i="5" s="1"/>
  <c r="Z52" i="2"/>
  <c r="Y25" i="3"/>
  <c r="X23" i="3"/>
  <c r="Y130" i="2"/>
  <c r="V55" i="2"/>
  <c r="U59" i="2"/>
  <c r="U63" i="2" s="1"/>
  <c r="Y15" i="3"/>
  <c r="X19" i="3"/>
  <c r="V53" i="2"/>
  <c r="U58" i="2"/>
  <c r="U62" i="2" s="1"/>
  <c r="AB315" i="1"/>
  <c r="Z50" i="2"/>
  <c r="Y21" i="1"/>
  <c r="X61" i="1"/>
  <c r="V27" i="3"/>
  <c r="W22" i="3"/>
  <c r="W13" i="3" s="1"/>
  <c r="U57" i="2"/>
  <c r="U61" i="2" s="1"/>
  <c r="V49" i="2"/>
  <c r="X51" i="2"/>
  <c r="Y64" i="1"/>
  <c r="Z301" i="1"/>
  <c r="Y310" i="1"/>
  <c r="X56" i="5"/>
  <c r="Y4" i="5"/>
  <c r="U105" i="1" l="1"/>
  <c r="U103" i="1"/>
  <c r="U102" i="1"/>
  <c r="U107" i="1"/>
  <c r="U106" i="1"/>
  <c r="AF9" i="2"/>
  <c r="AG25" i="2" s="1"/>
  <c r="V120" i="2"/>
  <c r="V124" i="2" s="1"/>
  <c r="C18" i="13"/>
  <c r="D18" i="13" s="1"/>
  <c r="F18" i="13" s="1"/>
  <c r="U126" i="2"/>
  <c r="U125" i="2"/>
  <c r="C17" i="13"/>
  <c r="D17" i="13" s="1"/>
  <c r="F17" i="13" s="1"/>
  <c r="T126" i="2"/>
  <c r="T125" i="2"/>
  <c r="U124" i="2"/>
  <c r="E19" i="13"/>
  <c r="S246" i="2"/>
  <c r="S280" i="2" s="1"/>
  <c r="R237" i="2"/>
  <c r="T154" i="1"/>
  <c r="R210" i="2"/>
  <c r="R234" i="2"/>
  <c r="T151" i="1"/>
  <c r="R207" i="2"/>
  <c r="T152" i="1"/>
  <c r="R208" i="2"/>
  <c r="R235" i="2"/>
  <c r="R212" i="2"/>
  <c r="R239" i="2"/>
  <c r="T156" i="1"/>
  <c r="R238" i="2"/>
  <c r="T155" i="1"/>
  <c r="R211" i="2"/>
  <c r="AG171" i="2"/>
  <c r="R263" i="2"/>
  <c r="R267" i="2" s="1"/>
  <c r="R258" i="2"/>
  <c r="AB9" i="1"/>
  <c r="AF14" i="1"/>
  <c r="U29" i="3"/>
  <c r="U26" i="3" s="1"/>
  <c r="U30" i="3" s="1"/>
  <c r="AA107" i="5" s="1"/>
  <c r="V116" i="2"/>
  <c r="W131" i="2"/>
  <c r="W117" i="2"/>
  <c r="W116" i="2" s="1"/>
  <c r="Z189" i="2"/>
  <c r="AG155" i="2"/>
  <c r="AF159" i="2"/>
  <c r="AF163" i="2" s="1"/>
  <c r="AD57" i="1"/>
  <c r="AA187" i="2"/>
  <c r="Z34" i="1"/>
  <c r="W172" i="2"/>
  <c r="Z35" i="1"/>
  <c r="W173" i="2"/>
  <c r="AG181" i="2"/>
  <c r="Z36" i="1"/>
  <c r="W174" i="2"/>
  <c r="AE150" i="2"/>
  <c r="U141" i="2"/>
  <c r="Y133" i="1"/>
  <c r="W197" i="2"/>
  <c r="W221" i="2"/>
  <c r="AB146" i="1"/>
  <c r="AA115" i="2"/>
  <c r="AA119" i="2" s="1"/>
  <c r="AA123" i="2" s="1"/>
  <c r="X68" i="1"/>
  <c r="V95" i="2"/>
  <c r="AD58" i="1"/>
  <c r="AA188" i="2"/>
  <c r="U161" i="2"/>
  <c r="U160" i="2" s="1"/>
  <c r="U156" i="2"/>
  <c r="AG153" i="2"/>
  <c r="AF158" i="2"/>
  <c r="AF162" i="2" s="1"/>
  <c r="Y122" i="1"/>
  <c r="X91" i="2"/>
  <c r="AC153" i="1"/>
  <c r="AA209" i="2"/>
  <c r="AA236" i="2"/>
  <c r="X130" i="1"/>
  <c r="V194" i="2"/>
  <c r="V218" i="2"/>
  <c r="V137" i="2"/>
  <c r="V89" i="2"/>
  <c r="V97" i="2" s="1"/>
  <c r="V101" i="2" s="1"/>
  <c r="AD54" i="1"/>
  <c r="AA184" i="2"/>
  <c r="X66" i="1"/>
  <c r="V93" i="2"/>
  <c r="V133" i="2" s="1"/>
  <c r="Z37" i="1"/>
  <c r="W175" i="2"/>
  <c r="AE53" i="1"/>
  <c r="AB183" i="2"/>
  <c r="AD56" i="1"/>
  <c r="AA186" i="2"/>
  <c r="AI150" i="1"/>
  <c r="AG206" i="2"/>
  <c r="AG233" i="2"/>
  <c r="AD55" i="1"/>
  <c r="AA185" i="2"/>
  <c r="X81" i="2"/>
  <c r="X80" i="2" s="1"/>
  <c r="W252" i="2" s="1"/>
  <c r="X76" i="2"/>
  <c r="AB144" i="1"/>
  <c r="AA113" i="2"/>
  <c r="AA118" i="2" s="1"/>
  <c r="AA122" i="2" s="1"/>
  <c r="V151" i="2"/>
  <c r="V157" i="2" s="1"/>
  <c r="AB69" i="2"/>
  <c r="V177" i="2"/>
  <c r="Z38" i="1"/>
  <c r="W176" i="2"/>
  <c r="X90" i="1"/>
  <c r="X119" i="1"/>
  <c r="X139" i="1" s="1"/>
  <c r="X159" i="1" s="1"/>
  <c r="X164" i="1" s="1"/>
  <c r="Y22" i="1"/>
  <c r="Y160" i="1" s="1"/>
  <c r="X62" i="1"/>
  <c r="W129" i="2" s="1"/>
  <c r="V4" i="2"/>
  <c r="W5" i="2"/>
  <c r="X21" i="2" s="1"/>
  <c r="X20" i="2" s="1"/>
  <c r="AB141" i="1"/>
  <c r="X142" i="1"/>
  <c r="Y93" i="1"/>
  <c r="X111" i="2" s="1"/>
  <c r="Y165" i="1"/>
  <c r="AD47" i="1"/>
  <c r="AD96" i="1" s="1"/>
  <c r="AC114" i="2" s="1"/>
  <c r="AD46" i="1"/>
  <c r="AC95" i="1"/>
  <c r="AC92" i="1"/>
  <c r="AB110" i="2" s="1"/>
  <c r="AD48" i="1"/>
  <c r="AC97" i="1"/>
  <c r="AC42" i="1"/>
  <c r="AC91" i="1" s="1"/>
  <c r="AB109" i="2" s="1"/>
  <c r="AD45" i="1"/>
  <c r="AD94" i="1" s="1"/>
  <c r="AC112" i="2" s="1"/>
  <c r="AA17" i="1"/>
  <c r="Z44" i="1"/>
  <c r="Y71" i="2" s="1"/>
  <c r="Y77" i="2" s="1"/>
  <c r="Z28" i="1"/>
  <c r="Y135" i="2" s="1"/>
  <c r="W55" i="2"/>
  <c r="V59" i="2"/>
  <c r="V63" i="2" s="1"/>
  <c r="Z310" i="1"/>
  <c r="AA301" i="1"/>
  <c r="X22" i="3"/>
  <c r="X13" i="3" s="1"/>
  <c r="Y61" i="1"/>
  <c r="Z21" i="1"/>
  <c r="AC315" i="1"/>
  <c r="P274" i="2"/>
  <c r="Q257" i="2"/>
  <c r="Z4" i="5"/>
  <c r="Y56" i="5"/>
  <c r="Z64" i="1"/>
  <c r="Y51" i="2"/>
  <c r="V57" i="2"/>
  <c r="V61" i="2" s="1"/>
  <c r="W49" i="2"/>
  <c r="AA50" i="2"/>
  <c r="AA52" i="2"/>
  <c r="AA24" i="1"/>
  <c r="W27" i="3"/>
  <c r="W53" i="2"/>
  <c r="V58" i="2"/>
  <c r="V62" i="2" s="1"/>
  <c r="X86" i="5"/>
  <c r="W103" i="5" s="1"/>
  <c r="X70" i="5"/>
  <c r="U60" i="2"/>
  <c r="U56" i="2"/>
  <c r="Z15" i="3"/>
  <c r="Y19" i="3"/>
  <c r="Z130" i="2"/>
  <c r="Z25" i="3"/>
  <c r="Y23" i="3"/>
  <c r="AB42" i="4"/>
  <c r="AA43" i="4"/>
  <c r="Y54" i="2"/>
  <c r="Y20" i="4"/>
  <c r="Z4" i="4"/>
  <c r="V103" i="1" l="1"/>
  <c r="V105" i="1"/>
  <c r="V102" i="1"/>
  <c r="V106" i="1"/>
  <c r="V107" i="1"/>
  <c r="AG9" i="2"/>
  <c r="C19" i="13"/>
  <c r="D19" i="13" s="1"/>
  <c r="F19" i="13" s="1"/>
  <c r="V126" i="2"/>
  <c r="V125" i="2"/>
  <c r="E20" i="13"/>
  <c r="U154" i="1"/>
  <c r="S210" i="2"/>
  <c r="S237" i="2"/>
  <c r="T246" i="2"/>
  <c r="T280" i="2" s="1"/>
  <c r="S211" i="2"/>
  <c r="S238" i="2"/>
  <c r="U155" i="1"/>
  <c r="U151" i="1"/>
  <c r="S207" i="2"/>
  <c r="S234" i="2"/>
  <c r="S208" i="2"/>
  <c r="S235" i="2"/>
  <c r="U152" i="1"/>
  <c r="S212" i="2"/>
  <c r="S239" i="2"/>
  <c r="U156" i="1"/>
  <c r="S263" i="2"/>
  <c r="S267" i="2" s="1"/>
  <c r="S258" i="2"/>
  <c r="AC9" i="1"/>
  <c r="AG14" i="1"/>
  <c r="V29" i="3"/>
  <c r="V26" i="3" s="1"/>
  <c r="V30" i="3" s="1"/>
  <c r="AB107" i="5" s="1"/>
  <c r="W121" i="2"/>
  <c r="X131" i="2"/>
  <c r="X117" i="2"/>
  <c r="X121" i="2" s="1"/>
  <c r="AA189" i="2"/>
  <c r="AE55" i="1"/>
  <c r="AB185" i="2"/>
  <c r="AH153" i="2"/>
  <c r="AH158" i="2" s="1"/>
  <c r="AH162" i="2" s="1"/>
  <c r="AG158" i="2"/>
  <c r="AG162" i="2" s="1"/>
  <c r="AA34" i="1"/>
  <c r="X172" i="2"/>
  <c r="Y81" i="2"/>
  <c r="Y80" i="2" s="1"/>
  <c r="X252" i="2" s="1"/>
  <c r="Y76" i="2"/>
  <c r="AC146" i="1"/>
  <c r="AB115" i="2"/>
  <c r="AB119" i="2" s="1"/>
  <c r="AB123" i="2" s="1"/>
  <c r="AC144" i="1"/>
  <c r="AB113" i="2"/>
  <c r="AB118" i="2" s="1"/>
  <c r="AB122" i="2" s="1"/>
  <c r="AA38" i="1"/>
  <c r="X176" i="2"/>
  <c r="V161" i="2"/>
  <c r="V160" i="2" s="1"/>
  <c r="V156" i="2"/>
  <c r="AE56" i="1"/>
  <c r="AB186" i="2"/>
  <c r="AA37" i="1"/>
  <c r="X175" i="2"/>
  <c r="AE54" i="1"/>
  <c r="AB184" i="2"/>
  <c r="AA36" i="1"/>
  <c r="X174" i="2"/>
  <c r="AH155" i="2"/>
  <c r="AH159" i="2" s="1"/>
  <c r="AH163" i="2" s="1"/>
  <c r="AG159" i="2"/>
  <c r="AG163" i="2" s="1"/>
  <c r="Z133" i="1"/>
  <c r="X221" i="2"/>
  <c r="X197" i="2"/>
  <c r="W151" i="2"/>
  <c r="W157" i="2" s="1"/>
  <c r="Y68" i="1"/>
  <c r="W95" i="2"/>
  <c r="AA35" i="1"/>
  <c r="X173" i="2"/>
  <c r="AE57" i="1"/>
  <c r="AB187" i="2"/>
  <c r="Z122" i="1"/>
  <c r="Y91" i="2"/>
  <c r="AE58" i="1"/>
  <c r="AB188" i="2"/>
  <c r="Y130" i="1"/>
  <c r="W194" i="2"/>
  <c r="W218" i="2"/>
  <c r="W137" i="2"/>
  <c r="W89" i="2"/>
  <c r="W97" i="2" s="1"/>
  <c r="W101" i="2" s="1"/>
  <c r="AC69" i="2"/>
  <c r="AF53" i="1"/>
  <c r="AC183" i="2"/>
  <c r="Y66" i="1"/>
  <c r="W93" i="2"/>
  <c r="W133" i="2" s="1"/>
  <c r="V141" i="2"/>
  <c r="AF150" i="2"/>
  <c r="W177" i="2"/>
  <c r="Z22" i="1"/>
  <c r="Z160" i="1" s="1"/>
  <c r="Y62" i="1"/>
  <c r="X129" i="2" s="1"/>
  <c r="Y90" i="1"/>
  <c r="Y119" i="1"/>
  <c r="Y139" i="1" s="1"/>
  <c r="Y159" i="1" s="1"/>
  <c r="Y164" i="1" s="1"/>
  <c r="X5" i="2"/>
  <c r="Y21" i="2" s="1"/>
  <c r="Y20" i="2" s="1"/>
  <c r="W4" i="2"/>
  <c r="AC141" i="1"/>
  <c r="Y142" i="1"/>
  <c r="AE48" i="1"/>
  <c r="AD97" i="1"/>
  <c r="AD92" i="1"/>
  <c r="AC110" i="2" s="1"/>
  <c r="AE47" i="1"/>
  <c r="AE96" i="1" s="1"/>
  <c r="AD114" i="2" s="1"/>
  <c r="AE46" i="1"/>
  <c r="AD95" i="1"/>
  <c r="Z93" i="1"/>
  <c r="Y111" i="2" s="1"/>
  <c r="Z165" i="1"/>
  <c r="AD42" i="1"/>
  <c r="AD91" i="1" s="1"/>
  <c r="AC109" i="2" s="1"/>
  <c r="AE45" i="1"/>
  <c r="AE94" i="1" s="1"/>
  <c r="AD112" i="2" s="1"/>
  <c r="AB17" i="1"/>
  <c r="AA44" i="1"/>
  <c r="Z71" i="2" s="1"/>
  <c r="Z77" i="2" s="1"/>
  <c r="AA28" i="1"/>
  <c r="Z135" i="2" s="1"/>
  <c r="Z20" i="4"/>
  <c r="AA4" i="4"/>
  <c r="AA25" i="3"/>
  <c r="Z23" i="3"/>
  <c r="X49" i="2"/>
  <c r="W57" i="2"/>
  <c r="W61" i="2" s="1"/>
  <c r="Q274" i="2"/>
  <c r="R257" i="2"/>
  <c r="AA310" i="1"/>
  <c r="AB301" i="1"/>
  <c r="Z54" i="2"/>
  <c r="AA15" i="3"/>
  <c r="Z19" i="3"/>
  <c r="Z51" i="2"/>
  <c r="AA64" i="1"/>
  <c r="AB50" i="2"/>
  <c r="AA4" i="5"/>
  <c r="Z56" i="5"/>
  <c r="X55" i="2"/>
  <c r="W59" i="2"/>
  <c r="W63" i="2" s="1"/>
  <c r="X53" i="2"/>
  <c r="W58" i="2"/>
  <c r="W62" i="2" s="1"/>
  <c r="X27" i="3"/>
  <c r="V60" i="2"/>
  <c r="V56" i="2"/>
  <c r="Z61" i="1"/>
  <c r="AA21" i="1"/>
  <c r="AA130" i="2"/>
  <c r="AB52" i="2"/>
  <c r="AD315" i="1"/>
  <c r="Y22" i="3"/>
  <c r="Y13" i="3" s="1"/>
  <c r="AC42" i="4"/>
  <c r="AB43" i="4"/>
  <c r="AB24" i="1"/>
  <c r="Y86" i="5"/>
  <c r="X103" i="5" s="1"/>
  <c r="Y70" i="5"/>
  <c r="W103" i="1" l="1"/>
  <c r="W105" i="1"/>
  <c r="W102" i="1"/>
  <c r="W106" i="1"/>
  <c r="W107" i="1"/>
  <c r="W120" i="2"/>
  <c r="W124" i="2" s="1"/>
  <c r="X120" i="2"/>
  <c r="X124" i="2" s="1"/>
  <c r="E21" i="13"/>
  <c r="V154" i="1"/>
  <c r="T210" i="2"/>
  <c r="T237" i="2"/>
  <c r="V155" i="1"/>
  <c r="T211" i="2"/>
  <c r="T238" i="2"/>
  <c r="U246" i="2"/>
  <c r="U280" i="2" s="1"/>
  <c r="T235" i="2"/>
  <c r="V152" i="1"/>
  <c r="T208" i="2"/>
  <c r="V151" i="1"/>
  <c r="T207" i="2"/>
  <c r="T234" i="2"/>
  <c r="T212" i="2"/>
  <c r="T239" i="2"/>
  <c r="V156" i="1"/>
  <c r="T263" i="2"/>
  <c r="T267" i="2" s="1"/>
  <c r="T258" i="2"/>
  <c r="AD9" i="1"/>
  <c r="AH14" i="1"/>
  <c r="W29" i="3"/>
  <c r="W26" i="3" s="1"/>
  <c r="W30" i="3" s="1"/>
  <c r="AC107" i="5" s="1"/>
  <c r="X116" i="2"/>
  <c r="Y117" i="2"/>
  <c r="Y116" i="2" s="1"/>
  <c r="Y131" i="2"/>
  <c r="AB189" i="2"/>
  <c r="X151" i="2"/>
  <c r="X157" i="2" s="1"/>
  <c r="AG150" i="2"/>
  <c r="Z66" i="1"/>
  <c r="X93" i="2"/>
  <c r="X133" i="2" s="1"/>
  <c r="AD69" i="2"/>
  <c r="AD153" i="1"/>
  <c r="AB236" i="2"/>
  <c r="AB209" i="2"/>
  <c r="AB35" i="1"/>
  <c r="Y173" i="2"/>
  <c r="AF54" i="1"/>
  <c r="AC184" i="2"/>
  <c r="AF56" i="1"/>
  <c r="AC186" i="2"/>
  <c r="AB38" i="1"/>
  <c r="Y176" i="2"/>
  <c r="AA122" i="1"/>
  <c r="Z91" i="2"/>
  <c r="Z130" i="1"/>
  <c r="X194" i="2"/>
  <c r="X218" i="2"/>
  <c r="AD144" i="1"/>
  <c r="AC113" i="2"/>
  <c r="AC118" i="2" s="1"/>
  <c r="AC122" i="2" s="1"/>
  <c r="W161" i="2"/>
  <c r="W160" i="2" s="1"/>
  <c r="W156" i="2"/>
  <c r="Z81" i="2"/>
  <c r="Z80" i="2" s="1"/>
  <c r="Y252" i="2" s="1"/>
  <c r="Z76" i="2"/>
  <c r="AA133" i="1"/>
  <c r="Y197" i="2"/>
  <c r="Y221" i="2"/>
  <c r="AD146" i="1"/>
  <c r="AC115" i="2"/>
  <c r="AC119" i="2" s="1"/>
  <c r="AC123" i="2" s="1"/>
  <c r="AG53" i="1"/>
  <c r="AD183" i="2"/>
  <c r="W141" i="2"/>
  <c r="AF58" i="1"/>
  <c r="AC188" i="2"/>
  <c r="AF57" i="1"/>
  <c r="AC187" i="2"/>
  <c r="Z68" i="1"/>
  <c r="X95" i="2"/>
  <c r="AB36" i="1"/>
  <c r="Y174" i="2"/>
  <c r="AB37" i="1"/>
  <c r="Y175" i="2"/>
  <c r="X177" i="2"/>
  <c r="AE153" i="1"/>
  <c r="AC209" i="2"/>
  <c r="AC236" i="2"/>
  <c r="X137" i="2"/>
  <c r="X89" i="2"/>
  <c r="X97" i="2" s="1"/>
  <c r="X101" i="2" s="1"/>
  <c r="AB34" i="1"/>
  <c r="Y172" i="2"/>
  <c r="AF55" i="1"/>
  <c r="AC185" i="2"/>
  <c r="Z90" i="1"/>
  <c r="Z119" i="1"/>
  <c r="Z139" i="1" s="1"/>
  <c r="Z159" i="1" s="1"/>
  <c r="Z164" i="1" s="1"/>
  <c r="X4" i="2"/>
  <c r="Y5" i="2"/>
  <c r="Z21" i="2" s="1"/>
  <c r="Z20" i="2" s="1"/>
  <c r="AA22" i="1"/>
  <c r="AA160" i="1" s="1"/>
  <c r="Z62" i="1"/>
  <c r="Y129" i="2" s="1"/>
  <c r="AD141" i="1"/>
  <c r="Z142" i="1"/>
  <c r="AA93" i="1"/>
  <c r="Z111" i="2" s="1"/>
  <c r="AA165" i="1"/>
  <c r="AF47" i="1"/>
  <c r="AF96" i="1" s="1"/>
  <c r="AE114" i="2" s="1"/>
  <c r="AF46" i="1"/>
  <c r="AE95" i="1"/>
  <c r="AE92" i="1"/>
  <c r="AD110" i="2" s="1"/>
  <c r="AF48" i="1"/>
  <c r="AE97" i="1"/>
  <c r="AE42" i="1"/>
  <c r="AE91" i="1" s="1"/>
  <c r="AD109" i="2" s="1"/>
  <c r="AF45" i="1"/>
  <c r="AF94" i="1" s="1"/>
  <c r="AE112" i="2" s="1"/>
  <c r="AC17" i="1"/>
  <c r="AB44" i="1"/>
  <c r="AA71" i="2" s="1"/>
  <c r="AA77" i="2" s="1"/>
  <c r="AB28" i="1"/>
  <c r="AA135" i="2" s="1"/>
  <c r="AC24" i="1"/>
  <c r="Y55" i="2"/>
  <c r="X59" i="2"/>
  <c r="X63" i="2" s="1"/>
  <c r="AC52" i="2"/>
  <c r="AA56" i="5"/>
  <c r="AB4" i="5"/>
  <c r="AC50" i="2"/>
  <c r="AB310" i="1"/>
  <c r="AC301" i="1"/>
  <c r="AB25" i="3"/>
  <c r="AA23" i="3"/>
  <c r="AD42" i="4"/>
  <c r="AC43" i="4"/>
  <c r="Z22" i="3"/>
  <c r="Z13" i="3" s="1"/>
  <c r="AA61" i="1"/>
  <c r="AB21" i="1"/>
  <c r="AB15" i="3"/>
  <c r="AA19" i="3"/>
  <c r="R274" i="2"/>
  <c r="S257" i="2"/>
  <c r="X57" i="2"/>
  <c r="X61" i="2" s="1"/>
  <c r="Y49" i="2"/>
  <c r="AE315" i="1"/>
  <c r="W60" i="2"/>
  <c r="W56" i="2"/>
  <c r="AA20" i="4"/>
  <c r="AB4" i="4"/>
  <c r="AA51" i="2"/>
  <c r="AB64" i="1"/>
  <c r="AB130" i="2"/>
  <c r="Y27" i="3"/>
  <c r="Y53" i="2"/>
  <c r="X58" i="2"/>
  <c r="X62" i="2" s="1"/>
  <c r="Z86" i="5"/>
  <c r="Y103" i="5" s="1"/>
  <c r="Z70" i="5"/>
  <c r="AA54" i="2"/>
  <c r="X105" i="1" l="1"/>
  <c r="X103" i="1"/>
  <c r="X102" i="1"/>
  <c r="X107" i="1"/>
  <c r="X106" i="1"/>
  <c r="C21" i="13"/>
  <c r="D21" i="13" s="1"/>
  <c r="F21" i="13" s="1"/>
  <c r="X126" i="2"/>
  <c r="X125" i="2"/>
  <c r="C20" i="13"/>
  <c r="D20" i="13" s="1"/>
  <c r="F20" i="13" s="1"/>
  <c r="W126" i="2"/>
  <c r="W125" i="2"/>
  <c r="E22" i="13"/>
  <c r="W154" i="1"/>
  <c r="U210" i="2"/>
  <c r="U237" i="2"/>
  <c r="W152" i="1"/>
  <c r="U208" i="2"/>
  <c r="U235" i="2"/>
  <c r="W156" i="1"/>
  <c r="U212" i="2"/>
  <c r="U239" i="2"/>
  <c r="V246" i="2"/>
  <c r="V280" i="2" s="1"/>
  <c r="W155" i="1"/>
  <c r="U211" i="2"/>
  <c r="U238" i="2"/>
  <c r="W151" i="1"/>
  <c r="U207" i="2"/>
  <c r="U234" i="2"/>
  <c r="U263" i="2"/>
  <c r="U267" i="2" s="1"/>
  <c r="U258" i="2"/>
  <c r="AE9" i="1"/>
  <c r="AI14" i="1"/>
  <c r="X29" i="3"/>
  <c r="X26" i="3" s="1"/>
  <c r="X30" i="3" s="1"/>
  <c r="AD107" i="5" s="1"/>
  <c r="Y121" i="2"/>
  <c r="Z131" i="2"/>
  <c r="Z117" i="2"/>
  <c r="Z116" i="2" s="1"/>
  <c r="Y177" i="2"/>
  <c r="AC189" i="2"/>
  <c r="Y151" i="2"/>
  <c r="Y157" i="2" s="1"/>
  <c r="AC34" i="1"/>
  <c r="Z172" i="2"/>
  <c r="X161" i="2"/>
  <c r="X160" i="2" s="1"/>
  <c r="X156" i="2"/>
  <c r="AB122" i="1"/>
  <c r="AA91" i="2"/>
  <c r="AA130" i="1"/>
  <c r="Y218" i="2"/>
  <c r="Y194" i="2"/>
  <c r="AC37" i="1"/>
  <c r="Z175" i="2"/>
  <c r="AA68" i="1"/>
  <c r="Y95" i="2"/>
  <c r="AG58" i="1"/>
  <c r="AD188" i="2"/>
  <c r="AH53" i="1"/>
  <c r="AE183" i="2"/>
  <c r="AG56" i="1"/>
  <c r="AD186" i="2"/>
  <c r="AA66" i="1"/>
  <c r="Y93" i="2"/>
  <c r="Y133" i="2" s="1"/>
  <c r="AA81" i="2"/>
  <c r="AA80" i="2" s="1"/>
  <c r="Z252" i="2" s="1"/>
  <c r="AA76" i="2"/>
  <c r="AB133" i="1"/>
  <c r="Z197" i="2"/>
  <c r="Z221" i="2"/>
  <c r="AG55" i="1"/>
  <c r="AD185" i="2"/>
  <c r="X141" i="2"/>
  <c r="AC35" i="1"/>
  <c r="Z173" i="2"/>
  <c r="AE69" i="2"/>
  <c r="AF153" i="1"/>
  <c r="AD209" i="2"/>
  <c r="AD236" i="2"/>
  <c r="AE146" i="1"/>
  <c r="AD115" i="2"/>
  <c r="AD119" i="2" s="1"/>
  <c r="AD123" i="2" s="1"/>
  <c r="AE144" i="1"/>
  <c r="AD113" i="2"/>
  <c r="AD118" i="2" s="1"/>
  <c r="AD122" i="2" s="1"/>
  <c r="Y137" i="2"/>
  <c r="Y89" i="2"/>
  <c r="Y97" i="2" s="1"/>
  <c r="Y101" i="2" s="1"/>
  <c r="AC36" i="1"/>
  <c r="Z174" i="2"/>
  <c r="AG57" i="1"/>
  <c r="AD187" i="2"/>
  <c r="AC38" i="1"/>
  <c r="Z176" i="2"/>
  <c r="AG54" i="1"/>
  <c r="AD184" i="2"/>
  <c r="AH150" i="2"/>
  <c r="AA90" i="1"/>
  <c r="AA119" i="1"/>
  <c r="AA139" i="1" s="1"/>
  <c r="AA159" i="1" s="1"/>
  <c r="AA164" i="1" s="1"/>
  <c r="Z5" i="2"/>
  <c r="AA21" i="2" s="1"/>
  <c r="AA20" i="2" s="1"/>
  <c r="Y4" i="2"/>
  <c r="AB22" i="1"/>
  <c r="AB160" i="1" s="1"/>
  <c r="AA62" i="1"/>
  <c r="Z129" i="2" s="1"/>
  <c r="AE141" i="1"/>
  <c r="AA142" i="1"/>
  <c r="AG48" i="1"/>
  <c r="AF97" i="1"/>
  <c r="AG46" i="1"/>
  <c r="AF95" i="1"/>
  <c r="AF92" i="1"/>
  <c r="AE110" i="2" s="1"/>
  <c r="AG47" i="1"/>
  <c r="AG96" i="1" s="1"/>
  <c r="AF114" i="2" s="1"/>
  <c r="AB93" i="1"/>
  <c r="AA111" i="2" s="1"/>
  <c r="AB165" i="1"/>
  <c r="AF42" i="1"/>
  <c r="AF91" i="1" s="1"/>
  <c r="AE109" i="2" s="1"/>
  <c r="AG45" i="1"/>
  <c r="AG94" i="1" s="1"/>
  <c r="AF112" i="2" s="1"/>
  <c r="AD17" i="1"/>
  <c r="AC44" i="1"/>
  <c r="AB71" i="2" s="1"/>
  <c r="AB77" i="2" s="1"/>
  <c r="AC28" i="1"/>
  <c r="AB135" i="2" s="1"/>
  <c r="AC4" i="4"/>
  <c r="AB20" i="4"/>
  <c r="Y57" i="2"/>
  <c r="Y61" i="2" s="1"/>
  <c r="Z49" i="2"/>
  <c r="AE42" i="4"/>
  <c r="AD43" i="4"/>
  <c r="AC15" i="3"/>
  <c r="AB19" i="3"/>
  <c r="AB61" i="1"/>
  <c r="AC21" i="1"/>
  <c r="AD24" i="1"/>
  <c r="AB54" i="2"/>
  <c r="AA22" i="3"/>
  <c r="AA13" i="3" s="1"/>
  <c r="AC25" i="3"/>
  <c r="AB23" i="3"/>
  <c r="Z27" i="3"/>
  <c r="AC130" i="2"/>
  <c r="AD50" i="2"/>
  <c r="AB51" i="2"/>
  <c r="AC64" i="1"/>
  <c r="X60" i="2"/>
  <c r="X56" i="2"/>
  <c r="AB56" i="5"/>
  <c r="AC4" i="5"/>
  <c r="Z53" i="2"/>
  <c r="Y58" i="2"/>
  <c r="Y62" i="2" s="1"/>
  <c r="AF315" i="1"/>
  <c r="S274" i="2"/>
  <c r="T257" i="2"/>
  <c r="AD301" i="1"/>
  <c r="AC310" i="1"/>
  <c r="AA70" i="5"/>
  <c r="AA86" i="5"/>
  <c r="Z103" i="5" s="1"/>
  <c r="AD52" i="2"/>
  <c r="Z55" i="2"/>
  <c r="Y59" i="2"/>
  <c r="Y63" i="2" s="1"/>
  <c r="Y105" i="1" l="1"/>
  <c r="Y103" i="1"/>
  <c r="Y102" i="1"/>
  <c r="Y107" i="1"/>
  <c r="Y106" i="1"/>
  <c r="Y120" i="2"/>
  <c r="Y124" i="2" s="1"/>
  <c r="E23" i="13"/>
  <c r="V235" i="2"/>
  <c r="X152" i="1"/>
  <c r="V208" i="2"/>
  <c r="X155" i="1"/>
  <c r="V238" i="2"/>
  <c r="V211" i="2"/>
  <c r="X151" i="1"/>
  <c r="V234" i="2"/>
  <c r="V207" i="2"/>
  <c r="W246" i="2"/>
  <c r="W280" i="2" s="1"/>
  <c r="V237" i="2"/>
  <c r="X154" i="1"/>
  <c r="V210" i="2"/>
  <c r="V239" i="2"/>
  <c r="X156" i="1"/>
  <c r="V212" i="2"/>
  <c r="V263" i="2"/>
  <c r="V267" i="2" s="1"/>
  <c r="V258" i="2"/>
  <c r="AF9" i="1"/>
  <c r="Y29" i="3"/>
  <c r="Y26" i="3" s="1"/>
  <c r="Y30" i="3" s="1"/>
  <c r="AE107" i="5" s="1"/>
  <c r="AI24" i="1"/>
  <c r="Z121" i="2"/>
  <c r="AA131" i="2"/>
  <c r="AA117" i="2"/>
  <c r="AA121" i="2" s="1"/>
  <c r="AD189" i="2"/>
  <c r="AF144" i="1"/>
  <c r="AE113" i="2"/>
  <c r="AE118" i="2" s="1"/>
  <c r="AE122" i="2" s="1"/>
  <c r="Z151" i="2"/>
  <c r="Z157" i="2" s="1"/>
  <c r="Z177" i="2"/>
  <c r="AG153" i="1"/>
  <c r="AE209" i="2"/>
  <c r="AE236" i="2"/>
  <c r="AB130" i="1"/>
  <c r="Z194" i="2"/>
  <c r="Z218" i="2"/>
  <c r="AH54" i="1"/>
  <c r="AE184" i="2"/>
  <c r="AH57" i="1"/>
  <c r="AE187" i="2"/>
  <c r="Y141" i="2"/>
  <c r="AD35" i="1"/>
  <c r="AA173" i="2"/>
  <c r="AH55" i="1"/>
  <c r="AE185" i="2"/>
  <c r="AB66" i="1"/>
  <c r="Z93" i="2"/>
  <c r="Z133" i="2" s="1"/>
  <c r="AI53" i="1"/>
  <c r="AF183" i="2"/>
  <c r="AB68" i="1"/>
  <c r="Z95" i="2"/>
  <c r="AD34" i="1"/>
  <c r="AA172" i="2"/>
  <c r="AB81" i="2"/>
  <c r="AB80" i="2" s="1"/>
  <c r="AA252" i="2" s="1"/>
  <c r="AB76" i="2"/>
  <c r="AC133" i="1"/>
  <c r="AA197" i="2"/>
  <c r="AA221" i="2"/>
  <c r="AF146" i="1"/>
  <c r="AE115" i="2"/>
  <c r="AE119" i="2" s="1"/>
  <c r="AE123" i="2" s="1"/>
  <c r="AF69" i="2"/>
  <c r="Y161" i="2"/>
  <c r="Y160" i="2" s="1"/>
  <c r="Y156" i="2"/>
  <c r="AC122" i="1"/>
  <c r="AB91" i="2"/>
  <c r="Z137" i="2"/>
  <c r="Z89" i="2"/>
  <c r="Z97" i="2" s="1"/>
  <c r="Z101" i="2" s="1"/>
  <c r="AD38" i="1"/>
  <c r="AA176" i="2"/>
  <c r="AD36" i="1"/>
  <c r="AA174" i="2"/>
  <c r="AH56" i="1"/>
  <c r="AE186" i="2"/>
  <c r="AH58" i="1"/>
  <c r="AE188" i="2"/>
  <c r="AD37" i="1"/>
  <c r="AA175" i="2"/>
  <c r="AA5" i="2"/>
  <c r="AB21" i="2" s="1"/>
  <c r="AB20" i="2" s="1"/>
  <c r="Z4" i="2"/>
  <c r="AB90" i="1"/>
  <c r="AB119" i="1"/>
  <c r="AB139" i="1" s="1"/>
  <c r="AB159" i="1" s="1"/>
  <c r="AB164" i="1" s="1"/>
  <c r="AC22" i="1"/>
  <c r="AC160" i="1" s="1"/>
  <c r="AB62" i="1"/>
  <c r="AA129" i="2" s="1"/>
  <c r="AF141" i="1"/>
  <c r="AB142" i="1"/>
  <c r="AH47" i="1"/>
  <c r="AH96" i="1" s="1"/>
  <c r="AG114" i="2" s="1"/>
  <c r="AH46" i="1"/>
  <c r="AG95" i="1"/>
  <c r="AC93" i="1"/>
  <c r="AB111" i="2" s="1"/>
  <c r="AC165" i="1"/>
  <c r="AG92" i="1"/>
  <c r="AF110" i="2" s="1"/>
  <c r="AH48" i="1"/>
  <c r="AG97" i="1"/>
  <c r="AC23" i="3"/>
  <c r="AD25" i="3"/>
  <c r="AC19" i="3"/>
  <c r="AD15" i="3"/>
  <c r="AG42" i="1"/>
  <c r="AG91" i="1" s="1"/>
  <c r="AF109" i="2" s="1"/>
  <c r="AH45" i="1"/>
  <c r="AH94" i="1" s="1"/>
  <c r="AG112" i="2" s="1"/>
  <c r="AE17" i="1"/>
  <c r="AD44" i="1"/>
  <c r="AC71" i="2" s="1"/>
  <c r="AC77" i="2" s="1"/>
  <c r="AD28" i="1"/>
  <c r="AC135" i="2" s="1"/>
  <c r="AD4" i="5"/>
  <c r="AC56" i="5"/>
  <c r="AE50" i="2"/>
  <c r="AD130" i="2"/>
  <c r="AE52" i="2"/>
  <c r="AD310" i="1"/>
  <c r="AE301" i="1"/>
  <c r="T274" i="2"/>
  <c r="U257" i="2"/>
  <c r="AC61" i="1"/>
  <c r="AD21" i="1"/>
  <c r="Y60" i="2"/>
  <c r="Y56" i="2"/>
  <c r="AB22" i="3"/>
  <c r="AB13" i="3" s="1"/>
  <c r="AD64" i="1"/>
  <c r="AC51" i="2"/>
  <c r="AA55" i="2"/>
  <c r="Z59" i="2"/>
  <c r="Z63" i="2" s="1"/>
  <c r="AA53" i="2"/>
  <c r="Z58" i="2"/>
  <c r="Z62" i="2" s="1"/>
  <c r="AA27" i="3"/>
  <c r="Z26" i="3"/>
  <c r="Z30" i="3" s="1"/>
  <c r="AE24" i="1"/>
  <c r="AF42" i="4"/>
  <c r="AE43" i="4"/>
  <c r="AG315" i="1"/>
  <c r="AH315" i="1" s="1"/>
  <c r="AB86" i="5"/>
  <c r="AA103" i="5" s="1"/>
  <c r="AB70" i="5"/>
  <c r="AC54" i="2"/>
  <c r="Z57" i="2"/>
  <c r="Z61" i="2" s="1"/>
  <c r="AA49" i="2"/>
  <c r="AC20" i="4"/>
  <c r="AD4" i="4"/>
  <c r="Z103" i="1" l="1"/>
  <c r="Z105" i="1"/>
  <c r="Z102" i="1"/>
  <c r="Z107" i="1"/>
  <c r="Z106" i="1"/>
  <c r="Z120" i="2"/>
  <c r="Z124" i="2" s="1"/>
  <c r="AA120" i="2"/>
  <c r="AA124" i="2" s="1"/>
  <c r="C22" i="13"/>
  <c r="D22" i="13" s="1"/>
  <c r="F22" i="13" s="1"/>
  <c r="Y126" i="2"/>
  <c r="Y125" i="2"/>
  <c r="E24" i="13"/>
  <c r="X246" i="2"/>
  <c r="X280" i="2" s="1"/>
  <c r="W208" i="2"/>
  <c r="Y152" i="1"/>
  <c r="W235" i="2"/>
  <c r="Y151" i="1"/>
  <c r="W207" i="2"/>
  <c r="W234" i="2"/>
  <c r="W211" i="2"/>
  <c r="W238" i="2"/>
  <c r="Y155" i="1"/>
  <c r="AG183" i="2"/>
  <c r="W237" i="2"/>
  <c r="Y154" i="1"/>
  <c r="W210" i="2"/>
  <c r="W239" i="2"/>
  <c r="Y156" i="1"/>
  <c r="W212" i="2"/>
  <c r="W263" i="2"/>
  <c r="W267" i="2" s="1"/>
  <c r="W258" i="2"/>
  <c r="AG9" i="1"/>
  <c r="AI64" i="1"/>
  <c r="AH51" i="2"/>
  <c r="AB131" i="2"/>
  <c r="AA116" i="2"/>
  <c r="AB117" i="2"/>
  <c r="AB121" i="2" s="1"/>
  <c r="AE189" i="2"/>
  <c r="AG146" i="1"/>
  <c r="AF115" i="2"/>
  <c r="AF119" i="2" s="1"/>
  <c r="AF123" i="2" s="1"/>
  <c r="AA137" i="2"/>
  <c r="AA89" i="2"/>
  <c r="AA97" i="2" s="1"/>
  <c r="AA101" i="2" s="1"/>
  <c r="AI58" i="1"/>
  <c r="AF188" i="2"/>
  <c r="AE36" i="1"/>
  <c r="AB174" i="2"/>
  <c r="AH153" i="1"/>
  <c r="AF236" i="2"/>
  <c r="AF209" i="2"/>
  <c r="AA151" i="2"/>
  <c r="AA157" i="2" s="1"/>
  <c r="Z141" i="2"/>
  <c r="AG69" i="2"/>
  <c r="AC68" i="1"/>
  <c r="AA95" i="2"/>
  <c r="AC66" i="1"/>
  <c r="AA93" i="2"/>
  <c r="AA133" i="2" s="1"/>
  <c r="AE35" i="1"/>
  <c r="AB173" i="2"/>
  <c r="AI57" i="1"/>
  <c r="AF187" i="2"/>
  <c r="AC130" i="1"/>
  <c r="AA194" i="2"/>
  <c r="AA218" i="2"/>
  <c r="AG144" i="1"/>
  <c r="AF113" i="2"/>
  <c r="AF118" i="2" s="1"/>
  <c r="AF122" i="2" s="1"/>
  <c r="AE37" i="1"/>
  <c r="AB175" i="2"/>
  <c r="AI56" i="1"/>
  <c r="AF186" i="2"/>
  <c r="AE38" i="1"/>
  <c r="AB176" i="2"/>
  <c r="AA177" i="2"/>
  <c r="Z161" i="2"/>
  <c r="Z160" i="2" s="1"/>
  <c r="Z156" i="2"/>
  <c r="AD122" i="1"/>
  <c r="AC91" i="2"/>
  <c r="AC81" i="2"/>
  <c r="AC80" i="2" s="1"/>
  <c r="AB252" i="2" s="1"/>
  <c r="AC76" i="2"/>
  <c r="AD133" i="1"/>
  <c r="AB221" i="2"/>
  <c r="AB197" i="2"/>
  <c r="AE34" i="1"/>
  <c r="AB172" i="2"/>
  <c r="AI55" i="1"/>
  <c r="AG185" i="2" s="1"/>
  <c r="AF185" i="2"/>
  <c r="AI54" i="1"/>
  <c r="AF184" i="2"/>
  <c r="AC90" i="1"/>
  <c r="AC119" i="1"/>
  <c r="AC139" i="1" s="1"/>
  <c r="AC159" i="1" s="1"/>
  <c r="AC164" i="1" s="1"/>
  <c r="AD22" i="1"/>
  <c r="AC62" i="1"/>
  <c r="AB129" i="2" s="1"/>
  <c r="AA4" i="2"/>
  <c r="AB5" i="2"/>
  <c r="AC21" i="2" s="1"/>
  <c r="AC20" i="2" s="1"/>
  <c r="AG141" i="1"/>
  <c r="AC142" i="1"/>
  <c r="AI48" i="1"/>
  <c r="AI97" i="1" s="1"/>
  <c r="AH97" i="1"/>
  <c r="AD93" i="1"/>
  <c r="AC111" i="2" s="1"/>
  <c r="AD165" i="1"/>
  <c r="AI92" i="1"/>
  <c r="AH110" i="2" s="1"/>
  <c r="AH92" i="1"/>
  <c r="AG110" i="2" s="1"/>
  <c r="AI46" i="1"/>
  <c r="AI95" i="1" s="1"/>
  <c r="AH95" i="1"/>
  <c r="AI47" i="1"/>
  <c r="AI96" i="1" s="1"/>
  <c r="AH114" i="2" s="1"/>
  <c r="AD19" i="3"/>
  <c r="AE15" i="3"/>
  <c r="AE19" i="3" s="1"/>
  <c r="AD23" i="3"/>
  <c r="AE25" i="3"/>
  <c r="AE23" i="3" s="1"/>
  <c r="AC22" i="3"/>
  <c r="AC13" i="3" s="1"/>
  <c r="AI45" i="1"/>
  <c r="AI94" i="1" s="1"/>
  <c r="AH112" i="2" s="1"/>
  <c r="AH42" i="1"/>
  <c r="AH91" i="1" s="1"/>
  <c r="AG109" i="2" s="1"/>
  <c r="AF17" i="1"/>
  <c r="AE44" i="1"/>
  <c r="AD71" i="2" s="1"/>
  <c r="AD77" i="2" s="1"/>
  <c r="AE28" i="1"/>
  <c r="AD135" i="2" s="1"/>
  <c r="AG42" i="4"/>
  <c r="AF43" i="4"/>
  <c r="AD51" i="2"/>
  <c r="AE64" i="1"/>
  <c r="AD61" i="1"/>
  <c r="AE21" i="1"/>
  <c r="AF52" i="2"/>
  <c r="AB55" i="2"/>
  <c r="AA59" i="2"/>
  <c r="AA63" i="2" s="1"/>
  <c r="U274" i="2"/>
  <c r="V257" i="2"/>
  <c r="AE4" i="5"/>
  <c r="AD56" i="5"/>
  <c r="AD54" i="2"/>
  <c r="AF50" i="2"/>
  <c r="AB49" i="2"/>
  <c r="AA57" i="2"/>
  <c r="AA61" i="2" s="1"/>
  <c r="AB53" i="2"/>
  <c r="AA58" i="2"/>
  <c r="AA62" i="2" s="1"/>
  <c r="AE130" i="2"/>
  <c r="AC86" i="5"/>
  <c r="AB103" i="5" s="1"/>
  <c r="AC70" i="5"/>
  <c r="AD20" i="4"/>
  <c r="AE4" i="4"/>
  <c r="Z60" i="2"/>
  <c r="Z56" i="2"/>
  <c r="AA26" i="3"/>
  <c r="AA30" i="3" s="1"/>
  <c r="AF24" i="1"/>
  <c r="AB27" i="3"/>
  <c r="AE310" i="1"/>
  <c r="AF301" i="1"/>
  <c r="AA103" i="1" l="1"/>
  <c r="AA105" i="1"/>
  <c r="AA102" i="1"/>
  <c r="AA107" i="1"/>
  <c r="AA106" i="1"/>
  <c r="AB120" i="2"/>
  <c r="AB124" i="2" s="1"/>
  <c r="C24" i="13"/>
  <c r="D24" i="13" s="1"/>
  <c r="F24" i="13" s="1"/>
  <c r="AA126" i="2"/>
  <c r="AA125" i="2"/>
  <c r="C23" i="13"/>
  <c r="D23" i="13" s="1"/>
  <c r="F23" i="13" s="1"/>
  <c r="Z126" i="2"/>
  <c r="Z125" i="2"/>
  <c r="E25" i="13"/>
  <c r="AG184" i="2"/>
  <c r="AG186" i="2"/>
  <c r="AG187" i="2"/>
  <c r="AG188" i="2"/>
  <c r="Z154" i="1"/>
  <c r="X210" i="2"/>
  <c r="X237" i="2"/>
  <c r="X235" i="2"/>
  <c r="Z152" i="1"/>
  <c r="X208" i="2"/>
  <c r="X207" i="2"/>
  <c r="X234" i="2"/>
  <c r="Z151" i="1"/>
  <c r="Y246" i="2"/>
  <c r="Y280" i="2" s="1"/>
  <c r="X212" i="2"/>
  <c r="X239" i="2"/>
  <c r="Z156" i="1"/>
  <c r="Z155" i="1"/>
  <c r="X211" i="2"/>
  <c r="X238" i="2"/>
  <c r="X263" i="2"/>
  <c r="X267" i="2" s="1"/>
  <c r="X258" i="2"/>
  <c r="AH9" i="1"/>
  <c r="AG209" i="2"/>
  <c r="AH91" i="2"/>
  <c r="AH131" i="2" s="1"/>
  <c r="AI122" i="1"/>
  <c r="AG43" i="4"/>
  <c r="AH42" i="4"/>
  <c r="AH43" i="4" s="1"/>
  <c r="AB116" i="2"/>
  <c r="AC131" i="2"/>
  <c r="AC117" i="2"/>
  <c r="AC121" i="2" s="1"/>
  <c r="AF189" i="2"/>
  <c r="AB177" i="2"/>
  <c r="AD81" i="2"/>
  <c r="AD80" i="2" s="1"/>
  <c r="AC252" i="2" s="1"/>
  <c r="AD76" i="2"/>
  <c r="AD130" i="1"/>
  <c r="AB194" i="2"/>
  <c r="AB218" i="2"/>
  <c r="AH144" i="1"/>
  <c r="AG113" i="2"/>
  <c r="AG118" i="2" s="1"/>
  <c r="AG122" i="2" s="1"/>
  <c r="AB151" i="2"/>
  <c r="AB157" i="2" s="1"/>
  <c r="AI144" i="1"/>
  <c r="AH113" i="2"/>
  <c r="AH118" i="2" s="1"/>
  <c r="AH122" i="2" s="1"/>
  <c r="AB137" i="2"/>
  <c r="AB89" i="2"/>
  <c r="AB97" i="2" s="1"/>
  <c r="AB101" i="2" s="1"/>
  <c r="AF38" i="1"/>
  <c r="AC176" i="2"/>
  <c r="AF37" i="1"/>
  <c r="AC175" i="2"/>
  <c r="AF35" i="1"/>
  <c r="AC173" i="2"/>
  <c r="AD68" i="1"/>
  <c r="AB95" i="2"/>
  <c r="AE122" i="1"/>
  <c r="AD91" i="2"/>
  <c r="AH146" i="1"/>
  <c r="AG115" i="2"/>
  <c r="AG119" i="2" s="1"/>
  <c r="AG123" i="2" s="1"/>
  <c r="AA161" i="2"/>
  <c r="AA160" i="2" s="1"/>
  <c r="AA156" i="2"/>
  <c r="AF36" i="1"/>
  <c r="AC174" i="2"/>
  <c r="AA141" i="2"/>
  <c r="AE133" i="1"/>
  <c r="AC197" i="2"/>
  <c r="AC221" i="2"/>
  <c r="AI146" i="1"/>
  <c r="AH115" i="2"/>
  <c r="AH119" i="2" s="1"/>
  <c r="AH123" i="2" s="1"/>
  <c r="AF34" i="1"/>
  <c r="AC172" i="2"/>
  <c r="AD66" i="1"/>
  <c r="AB93" i="2"/>
  <c r="AB133" i="2" s="1"/>
  <c r="AH69" i="2"/>
  <c r="AE22" i="1"/>
  <c r="AE160" i="1" s="1"/>
  <c r="AD62" i="1"/>
  <c r="AC129" i="2" s="1"/>
  <c r="AD90" i="1"/>
  <c r="AD119" i="1"/>
  <c r="AD139" i="1" s="1"/>
  <c r="AD159" i="1" s="1"/>
  <c r="AD164" i="1" s="1"/>
  <c r="AD160" i="1"/>
  <c r="AB4" i="2"/>
  <c r="AC5" i="2"/>
  <c r="AD21" i="2" s="1"/>
  <c r="AD20" i="2" s="1"/>
  <c r="AH141" i="1"/>
  <c r="AI141" i="1"/>
  <c r="AD142" i="1"/>
  <c r="AE93" i="1"/>
  <c r="AD111" i="2" s="1"/>
  <c r="AE165" i="1"/>
  <c r="AI42" i="1"/>
  <c r="AI91" i="1" s="1"/>
  <c r="AH109" i="2" s="1"/>
  <c r="AE22" i="3"/>
  <c r="AE13" i="3" s="1"/>
  <c r="AD22" i="3"/>
  <c r="AD13" i="3" s="1"/>
  <c r="AG17" i="1"/>
  <c r="AF44" i="1"/>
  <c r="AE71" i="2" s="1"/>
  <c r="AE77" i="2" s="1"/>
  <c r="AF28" i="1"/>
  <c r="AE135" i="2" s="1"/>
  <c r="AF310" i="1"/>
  <c r="AG301" i="1"/>
  <c r="AA56" i="2"/>
  <c r="AA60" i="2"/>
  <c r="AE54" i="2"/>
  <c r="AD86" i="5"/>
  <c r="AC103" i="5" s="1"/>
  <c r="AD70" i="5"/>
  <c r="AG52" i="2"/>
  <c r="AH52" i="2" s="1"/>
  <c r="AE51" i="2"/>
  <c r="AF64" i="1"/>
  <c r="AC53" i="2"/>
  <c r="AB58" i="2"/>
  <c r="AB62" i="2" s="1"/>
  <c r="AC27" i="3"/>
  <c r="AD27" i="3" s="1"/>
  <c r="AB26" i="3"/>
  <c r="AB30" i="3" s="1"/>
  <c r="AG24" i="1"/>
  <c r="AF130" i="2"/>
  <c r="AB57" i="2"/>
  <c r="AB61" i="2" s="1"/>
  <c r="AC49" i="2"/>
  <c r="AE56" i="5"/>
  <c r="AF4" i="5"/>
  <c r="AF56" i="5" s="1"/>
  <c r="V274" i="2"/>
  <c r="W257" i="2"/>
  <c r="AG50" i="2"/>
  <c r="AH50" i="2" s="1"/>
  <c r="AE61" i="1"/>
  <c r="AF21" i="1"/>
  <c r="AE20" i="4"/>
  <c r="AF4" i="4"/>
  <c r="AC55" i="2"/>
  <c r="AB59" i="2"/>
  <c r="AB63" i="2" s="1"/>
  <c r="AB105" i="1" l="1"/>
  <c r="AB103" i="1"/>
  <c r="AB102" i="1"/>
  <c r="AB107" i="1"/>
  <c r="AB106" i="1"/>
  <c r="AC120" i="2"/>
  <c r="AC124" i="2" s="1"/>
  <c r="C25" i="13"/>
  <c r="D25" i="13" s="1"/>
  <c r="F25" i="13" s="1"/>
  <c r="AB126" i="2"/>
  <c r="AB125" i="2"/>
  <c r="E26" i="13"/>
  <c r="AG189" i="2"/>
  <c r="AA156" i="1"/>
  <c r="Y212" i="2"/>
  <c r="Y239" i="2"/>
  <c r="Z246" i="2"/>
  <c r="Z280" i="2" s="1"/>
  <c r="AA155" i="1"/>
  <c r="Y211" i="2"/>
  <c r="Y238" i="2"/>
  <c r="AA154" i="1"/>
  <c r="Y237" i="2"/>
  <c r="Y210" i="2"/>
  <c r="Y207" i="2"/>
  <c r="Y234" i="2"/>
  <c r="AA151" i="1"/>
  <c r="AA152" i="1"/>
  <c r="Y208" i="2"/>
  <c r="Y235" i="2"/>
  <c r="AG236" i="2"/>
  <c r="AI153" i="1"/>
  <c r="Y263" i="2"/>
  <c r="Y267" i="2" s="1"/>
  <c r="Y258" i="2"/>
  <c r="AI9" i="1"/>
  <c r="AC116" i="2"/>
  <c r="AD131" i="2"/>
  <c r="AD117" i="2"/>
  <c r="AD121" i="2" s="1"/>
  <c r="AC177" i="2"/>
  <c r="AE81" i="2"/>
  <c r="AE80" i="2" s="1"/>
  <c r="AD252" i="2" s="1"/>
  <c r="AE76" i="2"/>
  <c r="AE68" i="1"/>
  <c r="AC95" i="2"/>
  <c r="AG37" i="1"/>
  <c r="AD175" i="2"/>
  <c r="AB141" i="2"/>
  <c r="AG34" i="1"/>
  <c r="AD172" i="2"/>
  <c r="AF122" i="1"/>
  <c r="AE91" i="2"/>
  <c r="AF133" i="1"/>
  <c r="AD197" i="2"/>
  <c r="AD221" i="2"/>
  <c r="AE130" i="1"/>
  <c r="AC194" i="2"/>
  <c r="AC218" i="2"/>
  <c r="AC151" i="2"/>
  <c r="AC157" i="2" s="1"/>
  <c r="AG36" i="1"/>
  <c r="AD174" i="2"/>
  <c r="AG35" i="1"/>
  <c r="AD173" i="2"/>
  <c r="AG38" i="1"/>
  <c r="AD176" i="2"/>
  <c r="AC137" i="2"/>
  <c r="AC89" i="2"/>
  <c r="AC97" i="2" s="1"/>
  <c r="AC101" i="2" s="1"/>
  <c r="AE66" i="1"/>
  <c r="AC93" i="2"/>
  <c r="AC133" i="2" s="1"/>
  <c r="AB161" i="2"/>
  <c r="AB160" i="2" s="1"/>
  <c r="AB156" i="2"/>
  <c r="AE90" i="1"/>
  <c r="AE119" i="1"/>
  <c r="AE139" i="1" s="1"/>
  <c r="AE159" i="1" s="1"/>
  <c r="AE164" i="1" s="1"/>
  <c r="AD5" i="2"/>
  <c r="AE21" i="2" s="1"/>
  <c r="AE20" i="2" s="1"/>
  <c r="AC4" i="2"/>
  <c r="AF22" i="1"/>
  <c r="AF160" i="1" s="1"/>
  <c r="AE62" i="1"/>
  <c r="AD129" i="2" s="1"/>
  <c r="AE142" i="1"/>
  <c r="AG310" i="1"/>
  <c r="AH301" i="1"/>
  <c r="AH310" i="1" s="1"/>
  <c r="AF93" i="1"/>
  <c r="AE111" i="2" s="1"/>
  <c r="AF165" i="1"/>
  <c r="AD26" i="3"/>
  <c r="AD30" i="3" s="1"/>
  <c r="AE27" i="3"/>
  <c r="AE26" i="3" s="1"/>
  <c r="AE30" i="3" s="1"/>
  <c r="AH17" i="1"/>
  <c r="AG44" i="1"/>
  <c r="AF71" i="2" s="1"/>
  <c r="AF77" i="2" s="1"/>
  <c r="AG28" i="1"/>
  <c r="AF135" i="2" s="1"/>
  <c r="AD55" i="2"/>
  <c r="AC59" i="2"/>
  <c r="AC63" i="2" s="1"/>
  <c r="AF86" i="5"/>
  <c r="AE103" i="5" s="1"/>
  <c r="AF70" i="5"/>
  <c r="AC26" i="3"/>
  <c r="AC30" i="3" s="1"/>
  <c r="B62" i="6" s="1"/>
  <c r="AH24" i="1"/>
  <c r="AF61" i="1"/>
  <c r="AG21" i="1"/>
  <c r="AF51" i="2"/>
  <c r="AG64" i="1"/>
  <c r="AD53" i="2"/>
  <c r="AC58" i="2"/>
  <c r="AC62" i="2" s="1"/>
  <c r="AF54" i="2"/>
  <c r="AG4" i="4"/>
  <c r="AF20" i="4"/>
  <c r="W274" i="2"/>
  <c r="X257" i="2"/>
  <c r="AE70" i="5"/>
  <c r="AE86" i="5"/>
  <c r="AD103" i="5" s="1"/>
  <c r="AB56" i="2"/>
  <c r="AB60" i="2"/>
  <c r="AC57" i="2"/>
  <c r="AC61" i="2" s="1"/>
  <c r="AD49" i="2"/>
  <c r="AC105" i="1" l="1"/>
  <c r="AC103" i="1"/>
  <c r="AC102" i="1"/>
  <c r="AC106" i="1"/>
  <c r="AC107" i="1"/>
  <c r="AD120" i="2"/>
  <c r="AD124" i="2" s="1"/>
  <c r="C26" i="13"/>
  <c r="D26" i="13" s="1"/>
  <c r="F26" i="13" s="1"/>
  <c r="AC126" i="2"/>
  <c r="AC125" i="2"/>
  <c r="E27" i="13"/>
  <c r="AB155" i="1"/>
  <c r="Z211" i="2"/>
  <c r="Z238" i="2"/>
  <c r="Z234" i="2"/>
  <c r="Z207" i="2"/>
  <c r="AB151" i="1"/>
  <c r="AA246" i="2"/>
  <c r="AA280" i="2" s="1"/>
  <c r="Z235" i="2"/>
  <c r="AB152" i="1"/>
  <c r="Z208" i="2"/>
  <c r="AB154" i="1"/>
  <c r="Z210" i="2"/>
  <c r="Z237" i="2"/>
  <c r="AB156" i="1"/>
  <c r="Z212" i="2"/>
  <c r="Z239" i="2"/>
  <c r="Z263" i="2"/>
  <c r="Z267" i="2" s="1"/>
  <c r="Z258" i="2"/>
  <c r="AJ9" i="1"/>
  <c r="AG20" i="4"/>
  <c r="AH4" i="4"/>
  <c r="AH20" i="4" s="1"/>
  <c r="AD116" i="2"/>
  <c r="AE131" i="2"/>
  <c r="AE117" i="2"/>
  <c r="AE121" i="2" s="1"/>
  <c r="AD137" i="2"/>
  <c r="AD89" i="2"/>
  <c r="AD97" i="2" s="1"/>
  <c r="AD101" i="2" s="1"/>
  <c r="AC141" i="2"/>
  <c r="AC161" i="2"/>
  <c r="AC160" i="2" s="1"/>
  <c r="AC156" i="2"/>
  <c r="AG133" i="1"/>
  <c r="AE197" i="2"/>
  <c r="AE221" i="2"/>
  <c r="AF130" i="1"/>
  <c r="AD194" i="2"/>
  <c r="AD218" i="2"/>
  <c r="AH35" i="1"/>
  <c r="AE173" i="2"/>
  <c r="AH37" i="1"/>
  <c r="AE175" i="2"/>
  <c r="AD151" i="2"/>
  <c r="AD157" i="2" s="1"/>
  <c r="AF66" i="1"/>
  <c r="AD93" i="2"/>
  <c r="AD133" i="2" s="1"/>
  <c r="AD177" i="2"/>
  <c r="AH130" i="2"/>
  <c r="AG130" i="2"/>
  <c r="AG122" i="1"/>
  <c r="AF91" i="2"/>
  <c r="AF81" i="2"/>
  <c r="AF80" i="2" s="1"/>
  <c r="AE252" i="2" s="1"/>
  <c r="AF76" i="2"/>
  <c r="AH38" i="1"/>
  <c r="AE176" i="2"/>
  <c r="AH36" i="1"/>
  <c r="AE174" i="2"/>
  <c r="AH34" i="1"/>
  <c r="AE172" i="2"/>
  <c r="AF68" i="1"/>
  <c r="AD95" i="2"/>
  <c r="AE5" i="2"/>
  <c r="AF21" i="2" s="1"/>
  <c r="AF20" i="2" s="1"/>
  <c r="AD4" i="2"/>
  <c r="AF90" i="1"/>
  <c r="AF119" i="1"/>
  <c r="AF139" i="1" s="1"/>
  <c r="AF159" i="1" s="1"/>
  <c r="AF164" i="1" s="1"/>
  <c r="AG22" i="1"/>
  <c r="AG160" i="1" s="1"/>
  <c r="AF62" i="1"/>
  <c r="AE129" i="2" s="1"/>
  <c r="AF142" i="1"/>
  <c r="AG93" i="1"/>
  <c r="AF111" i="2" s="1"/>
  <c r="AG165" i="1"/>
  <c r="AH44" i="1"/>
  <c r="AG71" i="2" s="1"/>
  <c r="AG77" i="2" s="1"/>
  <c r="AI17" i="1"/>
  <c r="AI44" i="1" s="1"/>
  <c r="AH71" i="2" s="1"/>
  <c r="AH77" i="2" s="1"/>
  <c r="AH28" i="1"/>
  <c r="AC60" i="2"/>
  <c r="AC56" i="2"/>
  <c r="AD57" i="2"/>
  <c r="AD61" i="2" s="1"/>
  <c r="AE49" i="2"/>
  <c r="AE53" i="2"/>
  <c r="AD58" i="2"/>
  <c r="AD62" i="2" s="1"/>
  <c r="X274" i="2"/>
  <c r="Y257" i="2"/>
  <c r="AG54" i="2"/>
  <c r="AH54" i="2" s="1"/>
  <c r="AG61" i="1"/>
  <c r="AH21" i="1"/>
  <c r="AG51" i="2"/>
  <c r="AH64" i="1"/>
  <c r="AE55" i="2"/>
  <c r="AD59" i="2"/>
  <c r="AD63" i="2" s="1"/>
  <c r="AD103" i="1" l="1"/>
  <c r="AD105" i="1"/>
  <c r="AD102" i="1"/>
  <c r="AD106" i="1"/>
  <c r="AD107" i="1"/>
  <c r="AE120" i="2"/>
  <c r="AE124" i="2" s="1"/>
  <c r="C27" i="13"/>
  <c r="D27" i="13" s="1"/>
  <c r="F27" i="13" s="1"/>
  <c r="AD126" i="2"/>
  <c r="AD125" i="2"/>
  <c r="E28" i="13"/>
  <c r="AC156" i="1"/>
  <c r="AA212" i="2"/>
  <c r="AA239" i="2"/>
  <c r="AB246" i="2"/>
  <c r="AB280" i="2" s="1"/>
  <c r="AA210" i="2"/>
  <c r="AA237" i="2"/>
  <c r="AC154" i="1"/>
  <c r="AA238" i="2"/>
  <c r="AC155" i="1"/>
  <c r="AA211" i="2"/>
  <c r="AC151" i="1"/>
  <c r="AA207" i="2"/>
  <c r="AA234" i="2"/>
  <c r="AC152" i="1"/>
  <c r="AA235" i="2"/>
  <c r="AA208" i="2"/>
  <c r="AA263" i="2"/>
  <c r="AA267" i="2" s="1"/>
  <c r="AA258" i="2"/>
  <c r="AK9" i="1"/>
  <c r="AE116" i="2"/>
  <c r="AF117" i="2"/>
  <c r="AF116" i="2" s="1"/>
  <c r="AF131" i="2"/>
  <c r="AH76" i="2"/>
  <c r="AH81" i="2"/>
  <c r="AH80" i="2" s="1"/>
  <c r="AG252" i="2" s="1"/>
  <c r="AH133" i="1"/>
  <c r="AF221" i="2"/>
  <c r="AF197" i="2"/>
  <c r="AE151" i="2"/>
  <c r="AE157" i="2" s="1"/>
  <c r="AE177" i="2"/>
  <c r="AD161" i="2"/>
  <c r="AD160" i="2" s="1"/>
  <c r="AD156" i="2"/>
  <c r="AI35" i="1"/>
  <c r="AF173" i="2"/>
  <c r="AD141" i="2"/>
  <c r="AG81" i="2"/>
  <c r="AG80" i="2" s="1"/>
  <c r="AF252" i="2" s="1"/>
  <c r="AG76" i="2"/>
  <c r="AG130" i="1"/>
  <c r="AE194" i="2"/>
  <c r="AE218" i="2"/>
  <c r="AI34" i="1"/>
  <c r="AF172" i="2"/>
  <c r="AI38" i="1"/>
  <c r="AF176" i="2"/>
  <c r="AE137" i="2"/>
  <c r="AE89" i="2"/>
  <c r="AE97" i="2" s="1"/>
  <c r="AE101" i="2" s="1"/>
  <c r="AI37" i="1"/>
  <c r="AF175" i="2"/>
  <c r="AH122" i="1"/>
  <c r="AG91" i="2"/>
  <c r="AI28" i="1"/>
  <c r="AH135" i="2" s="1"/>
  <c r="AG135" i="2"/>
  <c r="AG68" i="1"/>
  <c r="AE95" i="2"/>
  <c r="AI36" i="1"/>
  <c r="AF174" i="2"/>
  <c r="AG66" i="1"/>
  <c r="AE93" i="2"/>
  <c r="AE133" i="2" s="1"/>
  <c r="AG90" i="1"/>
  <c r="AG119" i="1"/>
  <c r="AG139" i="1" s="1"/>
  <c r="AG159" i="1" s="1"/>
  <c r="AG164" i="1" s="1"/>
  <c r="AH22" i="1"/>
  <c r="AG62" i="1"/>
  <c r="AF129" i="2" s="1"/>
  <c r="AE4" i="2"/>
  <c r="AF5" i="2"/>
  <c r="AG21" i="2" s="1"/>
  <c r="AG20" i="2" s="1"/>
  <c r="AG142" i="1"/>
  <c r="AH93" i="1"/>
  <c r="AG111" i="2" s="1"/>
  <c r="AH165" i="1"/>
  <c r="AI93" i="1"/>
  <c r="AH111" i="2" s="1"/>
  <c r="AI165" i="1"/>
  <c r="AH61" i="1"/>
  <c r="AI21" i="1"/>
  <c r="AI61" i="1" s="1"/>
  <c r="Y274" i="2"/>
  <c r="Z257" i="2"/>
  <c r="AF53" i="2"/>
  <c r="AE58" i="2"/>
  <c r="AE62" i="2" s="1"/>
  <c r="AD60" i="2"/>
  <c r="AD56" i="2"/>
  <c r="AF55" i="2"/>
  <c r="AE59" i="2"/>
  <c r="AE63" i="2" s="1"/>
  <c r="AF49" i="2"/>
  <c r="AE57" i="2"/>
  <c r="AE61" i="2" s="1"/>
  <c r="AE103" i="1" l="1"/>
  <c r="AE105" i="1"/>
  <c r="AE102" i="1"/>
  <c r="AE107" i="1"/>
  <c r="AE106" i="1"/>
  <c r="C28" i="13"/>
  <c r="D28" i="13" s="1"/>
  <c r="F28" i="13" s="1"/>
  <c r="AE126" i="2"/>
  <c r="AE125" i="2"/>
  <c r="E29" i="13"/>
  <c r="AD155" i="1"/>
  <c r="AB211" i="2"/>
  <c r="AB238" i="2"/>
  <c r="AB212" i="2"/>
  <c r="AB239" i="2"/>
  <c r="AD156" i="1"/>
  <c r="AB235" i="2"/>
  <c r="AD152" i="1"/>
  <c r="AB208" i="2"/>
  <c r="AD151" i="1"/>
  <c r="AB207" i="2"/>
  <c r="AB234" i="2"/>
  <c r="AC246" i="2"/>
  <c r="AC280" i="2" s="1"/>
  <c r="AF121" i="2"/>
  <c r="AD154" i="1"/>
  <c r="AB210" i="2"/>
  <c r="AB237" i="2"/>
  <c r="AG176" i="2"/>
  <c r="AG175" i="2"/>
  <c r="AG172" i="2"/>
  <c r="AG174" i="2"/>
  <c r="AB263" i="2"/>
  <c r="AB267" i="2" s="1"/>
  <c r="AB258" i="2"/>
  <c r="AL9" i="1"/>
  <c r="AG117" i="2"/>
  <c r="AG121" i="2" s="1"/>
  <c r="AG131" i="2"/>
  <c r="AH117" i="2"/>
  <c r="AH121" i="2" s="1"/>
  <c r="AH130" i="1"/>
  <c r="AF194" i="2"/>
  <c r="AF218" i="2"/>
  <c r="AH66" i="1"/>
  <c r="AF93" i="2"/>
  <c r="AF133" i="2" s="1"/>
  <c r="AG173" i="2"/>
  <c r="AE161" i="2"/>
  <c r="AE160" i="2" s="1"/>
  <c r="AE156" i="2"/>
  <c r="AI130" i="1"/>
  <c r="AG218" i="2"/>
  <c r="AG194" i="2"/>
  <c r="AH68" i="1"/>
  <c r="AF95" i="2"/>
  <c r="AE141" i="2"/>
  <c r="AF151" i="2"/>
  <c r="AF157" i="2" s="1"/>
  <c r="AF137" i="2"/>
  <c r="AF89" i="2"/>
  <c r="AF97" i="2" s="1"/>
  <c r="AF101" i="2" s="1"/>
  <c r="AF177" i="2"/>
  <c r="AI22" i="1"/>
  <c r="AI62" i="1" s="1"/>
  <c r="AH129" i="2" s="1"/>
  <c r="AH62" i="1"/>
  <c r="AG129" i="2" s="1"/>
  <c r="AH90" i="1"/>
  <c r="AH119" i="1"/>
  <c r="AH139" i="1" s="1"/>
  <c r="AH159" i="1" s="1"/>
  <c r="AH164" i="1" s="1"/>
  <c r="AH160" i="1"/>
  <c r="AG5" i="2"/>
  <c r="AG4" i="2" s="1"/>
  <c r="AF4" i="2"/>
  <c r="AI90" i="1"/>
  <c r="AI119" i="1"/>
  <c r="AI139" i="1" s="1"/>
  <c r="AI159" i="1" s="1"/>
  <c r="AI164" i="1" s="1"/>
  <c r="AH142" i="1"/>
  <c r="AI142" i="1"/>
  <c r="AA257" i="2"/>
  <c r="Z274" i="2"/>
  <c r="AG55" i="2"/>
  <c r="AF59" i="2"/>
  <c r="AF63" i="2" s="1"/>
  <c r="AE60" i="2"/>
  <c r="AE56" i="2"/>
  <c r="AG53" i="2"/>
  <c r="AF58" i="2"/>
  <c r="AF62" i="2" s="1"/>
  <c r="AF57" i="2"/>
  <c r="AF61" i="2" s="1"/>
  <c r="AG49" i="2"/>
  <c r="AH49" i="2" s="1"/>
  <c r="AH57" i="2" s="1"/>
  <c r="AF105" i="1" l="1"/>
  <c r="AF103" i="1"/>
  <c r="AF102" i="1"/>
  <c r="AF106" i="1"/>
  <c r="AF107" i="1"/>
  <c r="AF120" i="2"/>
  <c r="AF124" i="2" s="1"/>
  <c r="AG120" i="2"/>
  <c r="AG124" i="2" s="1"/>
  <c r="AH120" i="2"/>
  <c r="AH124" i="2" s="1"/>
  <c r="E30" i="13"/>
  <c r="AE155" i="1"/>
  <c r="AC211" i="2"/>
  <c r="AC238" i="2"/>
  <c r="AE154" i="1"/>
  <c r="AC210" i="2"/>
  <c r="AC237" i="2"/>
  <c r="AD246" i="2"/>
  <c r="AD280" i="2" s="1"/>
  <c r="AC212" i="2"/>
  <c r="AC239" i="2"/>
  <c r="AE156" i="1"/>
  <c r="AE151" i="1"/>
  <c r="AC207" i="2"/>
  <c r="AC234" i="2"/>
  <c r="AC235" i="2"/>
  <c r="AE152" i="1"/>
  <c r="AC208" i="2"/>
  <c r="AG177" i="2"/>
  <c r="AG116" i="2"/>
  <c r="AC263" i="2"/>
  <c r="AC267" i="2" s="1"/>
  <c r="AC258" i="2"/>
  <c r="AM9" i="1"/>
  <c r="AH116" i="2"/>
  <c r="AI160" i="1"/>
  <c r="AH151" i="2"/>
  <c r="AH157" i="2" s="1"/>
  <c r="AH137" i="2"/>
  <c r="AH89" i="2"/>
  <c r="AH97" i="2" s="1"/>
  <c r="AI133" i="1"/>
  <c r="AG197" i="2"/>
  <c r="AG221" i="2"/>
  <c r="AF141" i="2"/>
  <c r="AG151" i="2"/>
  <c r="AG157" i="2" s="1"/>
  <c r="AI68" i="1"/>
  <c r="AH95" i="2" s="1"/>
  <c r="AG95" i="2"/>
  <c r="AG137" i="2"/>
  <c r="AG89" i="2"/>
  <c r="AG97" i="2" s="1"/>
  <c r="AG101" i="2" s="1"/>
  <c r="AF161" i="2"/>
  <c r="AF160" i="2" s="1"/>
  <c r="AF156" i="2"/>
  <c r="AI66" i="1"/>
  <c r="AH93" i="2" s="1"/>
  <c r="AH133" i="2" s="1"/>
  <c r="AG93" i="2"/>
  <c r="AG133" i="2" s="1"/>
  <c r="AG58" i="2"/>
  <c r="AG62" i="2" s="1"/>
  <c r="AH53" i="2"/>
  <c r="AH58" i="2" s="1"/>
  <c r="AH62" i="2" s="1"/>
  <c r="AH61" i="2"/>
  <c r="AG59" i="2"/>
  <c r="AG63" i="2" s="1"/>
  <c r="AH55" i="2"/>
  <c r="AH59" i="2" s="1"/>
  <c r="AH63" i="2" s="1"/>
  <c r="AG57" i="2"/>
  <c r="AG61" i="2" s="1"/>
  <c r="AF56" i="2"/>
  <c r="AF60" i="2"/>
  <c r="AA274" i="2"/>
  <c r="AB257" i="2"/>
  <c r="AG105" i="1" l="1"/>
  <c r="AG103" i="1"/>
  <c r="AG102" i="1"/>
  <c r="AG107" i="1"/>
  <c r="AG106" i="1"/>
  <c r="C30" i="13"/>
  <c r="D30" i="13" s="1"/>
  <c r="F30" i="13" s="1"/>
  <c r="AG126" i="2"/>
  <c r="AG125" i="2"/>
  <c r="C31" i="13"/>
  <c r="AH126" i="2"/>
  <c r="AH125" i="2"/>
  <c r="C29" i="13"/>
  <c r="D29" i="13" s="1"/>
  <c r="F29" i="13" s="1"/>
  <c r="AF126" i="2"/>
  <c r="AF125" i="2"/>
  <c r="E31" i="13"/>
  <c r="AE246" i="2"/>
  <c r="AE280" i="2" s="1"/>
  <c r="AF152" i="1"/>
  <c r="AD208" i="2"/>
  <c r="AD235" i="2"/>
  <c r="AD238" i="2"/>
  <c r="AF155" i="1"/>
  <c r="AD211" i="2"/>
  <c r="AF156" i="1"/>
  <c r="AD212" i="2"/>
  <c r="AD239" i="2"/>
  <c r="AD207" i="2"/>
  <c r="AF151" i="1"/>
  <c r="AD234" i="2"/>
  <c r="AD210" i="2"/>
  <c r="AD237" i="2"/>
  <c r="AF154" i="1"/>
  <c r="AD263" i="2"/>
  <c r="AD267" i="2" s="1"/>
  <c r="AD258" i="2"/>
  <c r="AN9" i="1"/>
  <c r="AG141" i="2"/>
  <c r="AH101" i="2"/>
  <c r="AH141" i="2"/>
  <c r="AH56" i="2"/>
  <c r="AH161" i="2"/>
  <c r="AH160" i="2" s="1"/>
  <c r="AH156" i="2"/>
  <c r="AG161" i="2"/>
  <c r="AG160" i="2" s="1"/>
  <c r="AG156" i="2"/>
  <c r="AH60" i="2"/>
  <c r="AG246" i="2" s="1"/>
  <c r="AG60" i="2"/>
  <c r="AG56" i="2"/>
  <c r="AB274" i="2"/>
  <c r="AC257" i="2"/>
  <c r="AI105" i="1" l="1"/>
  <c r="AI103" i="1"/>
  <c r="AH103" i="1"/>
  <c r="AH105" i="1"/>
  <c r="AH102" i="1"/>
  <c r="AH107" i="1"/>
  <c r="AH106" i="1"/>
  <c r="AI102" i="1"/>
  <c r="AI107" i="1"/>
  <c r="AI106" i="1"/>
  <c r="D31" i="13"/>
  <c r="F31" i="13" s="1"/>
  <c r="AE237" i="2"/>
  <c r="AG154" i="1"/>
  <c r="AE210" i="2"/>
  <c r="AE211" i="2"/>
  <c r="AE238" i="2"/>
  <c r="AG155" i="1"/>
  <c r="AF246" i="2"/>
  <c r="AF280" i="2" s="1"/>
  <c r="AG152" i="1"/>
  <c r="AE235" i="2"/>
  <c r="AE208" i="2"/>
  <c r="AG151" i="1"/>
  <c r="AE207" i="2"/>
  <c r="AE234" i="2"/>
  <c r="AE212" i="2"/>
  <c r="AE239" i="2"/>
  <c r="AG156" i="1"/>
  <c r="AE263" i="2"/>
  <c r="AE267" i="2" s="1"/>
  <c r="AE258" i="2"/>
  <c r="AO9" i="1"/>
  <c r="AG280" i="2"/>
  <c r="AC274" i="2"/>
  <c r="AD257" i="2"/>
  <c r="AH155" i="1" l="1"/>
  <c r="AF211" i="2"/>
  <c r="AF238" i="2"/>
  <c r="AG211" i="2"/>
  <c r="AG238" i="2"/>
  <c r="AI155" i="1"/>
  <c r="AH154" i="1"/>
  <c r="AF210" i="2"/>
  <c r="AF237" i="2"/>
  <c r="AH151" i="1"/>
  <c r="AF207" i="2"/>
  <c r="AF234" i="2"/>
  <c r="AI152" i="1"/>
  <c r="AG208" i="2"/>
  <c r="AG235" i="2"/>
  <c r="AG234" i="2"/>
  <c r="AI151" i="1"/>
  <c r="AG207" i="2"/>
  <c r="AH152" i="1"/>
  <c r="AF208" i="2"/>
  <c r="AF235" i="2"/>
  <c r="AG212" i="2"/>
  <c r="AG239" i="2"/>
  <c r="AI156" i="1"/>
  <c r="AH156" i="1"/>
  <c r="AF212" i="2"/>
  <c r="AF239" i="2"/>
  <c r="AG237" i="2"/>
  <c r="AI154" i="1"/>
  <c r="AG210" i="2"/>
  <c r="AF263" i="2"/>
  <c r="AF267" i="2" s="1"/>
  <c r="AF258" i="2"/>
  <c r="AP9" i="1"/>
  <c r="AD274" i="2"/>
  <c r="AE257" i="2"/>
  <c r="AF257" i="2" s="1"/>
  <c r="AG263" i="2" l="1"/>
  <c r="AG267" i="2" s="1"/>
  <c r="AG258" i="2"/>
  <c r="AG257" i="2"/>
  <c r="AG274" i="2" s="1"/>
  <c r="AF274" i="2"/>
  <c r="AE274" i="2"/>
  <c r="C129" i="2" l="1"/>
  <c r="C137" i="2" s="1"/>
  <c r="C89" i="2"/>
  <c r="C97" i="2" s="1"/>
  <c r="C101" i="2" s="1"/>
  <c r="C141" i="2" l="1"/>
  <c r="D97" i="2"/>
  <c r="D101" i="2" s="1"/>
  <c r="E97" i="2" l="1"/>
  <c r="E101" i="2" s="1"/>
  <c r="D3" i="10" l="1"/>
  <c r="D65" i="1"/>
  <c r="E65" i="1"/>
  <c r="D132" i="2" l="1"/>
  <c r="D138" i="2" s="1"/>
  <c r="D92" i="2"/>
  <c r="D98" i="2" s="1"/>
  <c r="D102" i="2" s="1"/>
  <c r="C132" i="2"/>
  <c r="C138" i="2" s="1"/>
  <c r="C92" i="2"/>
  <c r="C98" i="2" s="1"/>
  <c r="C102" i="2" s="1"/>
  <c r="C142" i="2" l="1"/>
  <c r="D142" i="2"/>
  <c r="F65" i="1"/>
  <c r="E132" i="2" l="1"/>
  <c r="E138" i="2" s="1"/>
  <c r="E92" i="2"/>
  <c r="E98" i="2" s="1"/>
  <c r="E102" i="2" s="1"/>
  <c r="G65" i="1"/>
  <c r="F132" i="2" s="1"/>
  <c r="F138" i="2" s="1"/>
  <c r="D7" i="10" l="1"/>
  <c r="E142" i="2"/>
  <c r="F142" i="2"/>
  <c r="F92" i="2"/>
  <c r="H65" i="1"/>
  <c r="G132" i="2" l="1"/>
  <c r="G138" i="2" s="1"/>
  <c r="G92" i="2"/>
  <c r="G98" i="2" s="1"/>
  <c r="G102" i="2" s="1"/>
  <c r="F98" i="2"/>
  <c r="F102" i="2" s="1"/>
  <c r="I65" i="1"/>
  <c r="G142" i="2" l="1"/>
  <c r="H132" i="2"/>
  <c r="H138" i="2" s="1"/>
  <c r="H92" i="2"/>
  <c r="H98" i="2" s="1"/>
  <c r="H102" i="2" s="1"/>
  <c r="J65" i="1"/>
  <c r="H142" i="2" l="1"/>
  <c r="I132" i="2"/>
  <c r="I138" i="2" s="1"/>
  <c r="I92" i="2"/>
  <c r="I98" i="2" s="1"/>
  <c r="I102" i="2" s="1"/>
  <c r="K65" i="1"/>
  <c r="I142" i="2" l="1"/>
  <c r="J132" i="2"/>
  <c r="J138" i="2" s="1"/>
  <c r="J92" i="2"/>
  <c r="J98" i="2" s="1"/>
  <c r="J102" i="2" s="1"/>
  <c r="L65" i="1"/>
  <c r="J142" i="2" l="1"/>
  <c r="K132" i="2"/>
  <c r="K138" i="2" s="1"/>
  <c r="K92" i="2"/>
  <c r="K98" i="2" s="1"/>
  <c r="K102" i="2" s="1"/>
  <c r="M65" i="1"/>
  <c r="D8" i="10" l="1"/>
  <c r="K142" i="2"/>
  <c r="L132" i="2"/>
  <c r="L138" i="2" s="1"/>
  <c r="L92" i="2"/>
  <c r="L98" i="2" s="1"/>
  <c r="L102" i="2" s="1"/>
  <c r="N65" i="1"/>
  <c r="L142" i="2" l="1"/>
  <c r="M132" i="2"/>
  <c r="M138" i="2" s="1"/>
  <c r="M92" i="2"/>
  <c r="M98" i="2" s="1"/>
  <c r="M102" i="2" s="1"/>
  <c r="O65" i="1"/>
  <c r="M142" i="2" l="1"/>
  <c r="N132" i="2"/>
  <c r="N138" i="2" s="1"/>
  <c r="N92" i="2"/>
  <c r="N98" i="2" s="1"/>
  <c r="N102" i="2" s="1"/>
  <c r="P65" i="1"/>
  <c r="N142" i="2" l="1"/>
  <c r="O132" i="2"/>
  <c r="O138" i="2" s="1"/>
  <c r="O92" i="2"/>
  <c r="O98" i="2" s="1"/>
  <c r="O102" i="2" s="1"/>
  <c r="Q65" i="1"/>
  <c r="O142" i="2" l="1"/>
  <c r="P132" i="2"/>
  <c r="P138" i="2" s="1"/>
  <c r="P92" i="2"/>
  <c r="P98" i="2" s="1"/>
  <c r="P102" i="2" s="1"/>
  <c r="R65" i="1"/>
  <c r="P142" i="2" l="1"/>
  <c r="Q132" i="2"/>
  <c r="Q138" i="2" s="1"/>
  <c r="Q92" i="2"/>
  <c r="Q98" i="2" s="1"/>
  <c r="Q102" i="2" s="1"/>
  <c r="S65" i="1"/>
  <c r="Q142" i="2" l="1"/>
  <c r="R132" i="2"/>
  <c r="R138" i="2" s="1"/>
  <c r="R92" i="2"/>
  <c r="R98" i="2" s="1"/>
  <c r="R102" i="2" s="1"/>
  <c r="T65" i="1"/>
  <c r="R142" i="2" l="1"/>
  <c r="S132" i="2"/>
  <c r="S138" i="2" s="1"/>
  <c r="S92" i="2"/>
  <c r="S98" i="2" s="1"/>
  <c r="S102" i="2" s="1"/>
  <c r="U65" i="1"/>
  <c r="S142" i="2" l="1"/>
  <c r="T132" i="2"/>
  <c r="T138" i="2" s="1"/>
  <c r="T92" i="2"/>
  <c r="T98" i="2" s="1"/>
  <c r="T102" i="2" s="1"/>
  <c r="V65" i="1"/>
  <c r="T142" i="2" l="1"/>
  <c r="U132" i="2"/>
  <c r="U138" i="2" s="1"/>
  <c r="U92" i="2"/>
  <c r="U98" i="2" s="1"/>
  <c r="U102" i="2" s="1"/>
  <c r="W65" i="1"/>
  <c r="U142" i="2" l="1"/>
  <c r="V132" i="2"/>
  <c r="V138" i="2" s="1"/>
  <c r="V92" i="2"/>
  <c r="V98" i="2" s="1"/>
  <c r="V102" i="2" s="1"/>
  <c r="X65" i="1"/>
  <c r="V142" i="2" l="1"/>
  <c r="W132" i="2"/>
  <c r="W138" i="2" s="1"/>
  <c r="W92" i="2"/>
  <c r="W98" i="2" s="1"/>
  <c r="W102" i="2" s="1"/>
  <c r="Y65" i="1"/>
  <c r="W142" i="2" l="1"/>
  <c r="X132" i="2"/>
  <c r="X138" i="2" s="1"/>
  <c r="X92" i="2"/>
  <c r="X98" i="2" s="1"/>
  <c r="X102" i="2" s="1"/>
  <c r="Z65" i="1"/>
  <c r="X142" i="2" l="1"/>
  <c r="Y132" i="2"/>
  <c r="Y138" i="2" s="1"/>
  <c r="Y92" i="2"/>
  <c r="Y98" i="2" s="1"/>
  <c r="Y102" i="2" s="1"/>
  <c r="AA65" i="1"/>
  <c r="Y142" i="2" l="1"/>
  <c r="Z132" i="2"/>
  <c r="Z138" i="2" s="1"/>
  <c r="Z92" i="2"/>
  <c r="Z98" i="2" s="1"/>
  <c r="Z102" i="2" s="1"/>
  <c r="AB65" i="1"/>
  <c r="Z142" i="2" l="1"/>
  <c r="AA132" i="2"/>
  <c r="AA138" i="2" s="1"/>
  <c r="AA92" i="2"/>
  <c r="AA98" i="2" s="1"/>
  <c r="AA102" i="2" s="1"/>
  <c r="AC65" i="1"/>
  <c r="AA142" i="2" l="1"/>
  <c r="AB132" i="2"/>
  <c r="AB138" i="2" s="1"/>
  <c r="AB92" i="2"/>
  <c r="AB98" i="2" s="1"/>
  <c r="AB102" i="2" s="1"/>
  <c r="AD65" i="1"/>
  <c r="AB142" i="2" l="1"/>
  <c r="AC132" i="2"/>
  <c r="AC138" i="2" s="1"/>
  <c r="AC92" i="2"/>
  <c r="AC98" i="2" s="1"/>
  <c r="AC102" i="2" s="1"/>
  <c r="AE65" i="1"/>
  <c r="AC142" i="2" l="1"/>
  <c r="AD132" i="2"/>
  <c r="AD138" i="2" s="1"/>
  <c r="AD92" i="2"/>
  <c r="AD98" i="2" s="1"/>
  <c r="AD102" i="2" s="1"/>
  <c r="AF65" i="1"/>
  <c r="AD142" i="2" l="1"/>
  <c r="AE132" i="2"/>
  <c r="AE138" i="2" s="1"/>
  <c r="AE92" i="2"/>
  <c r="AE98" i="2" s="1"/>
  <c r="AE102" i="2" s="1"/>
  <c r="AG65" i="1"/>
  <c r="AE142" i="2" l="1"/>
  <c r="AF132" i="2"/>
  <c r="AF138" i="2" s="1"/>
  <c r="AF92" i="2"/>
  <c r="AF98" i="2" s="1"/>
  <c r="AF102" i="2" s="1"/>
  <c r="AH65" i="1"/>
  <c r="AF142" i="2" l="1"/>
  <c r="AG132" i="2"/>
  <c r="AG138" i="2" s="1"/>
  <c r="AG92" i="2"/>
  <c r="AG98" i="2" s="1"/>
  <c r="AG102" i="2" s="1"/>
  <c r="AI65" i="1"/>
  <c r="AG142" i="2" l="1"/>
  <c r="AH132" i="2"/>
  <c r="AH138" i="2" s="1"/>
  <c r="AH92" i="2"/>
  <c r="AH98" i="2" s="1"/>
  <c r="E67" i="1"/>
  <c r="D67" i="1"/>
  <c r="F67" i="1"/>
  <c r="AH142" i="2" l="1"/>
  <c r="D161" i="1"/>
  <c r="C134" i="2"/>
  <c r="C139" i="2" s="1"/>
  <c r="C94" i="2"/>
  <c r="C99" i="2" s="1"/>
  <c r="C103" i="2" s="1"/>
  <c r="D134" i="2"/>
  <c r="D139" i="2" s="1"/>
  <c r="D94" i="2"/>
  <c r="D99" i="2" s="1"/>
  <c r="D103" i="2" s="1"/>
  <c r="AH102" i="2"/>
  <c r="E134" i="2"/>
  <c r="E139" i="2" s="1"/>
  <c r="E94" i="2"/>
  <c r="E99" i="2" s="1"/>
  <c r="E103" i="2" s="1"/>
  <c r="D12" i="10" l="1"/>
  <c r="D17" i="10" s="1"/>
  <c r="D143" i="2"/>
  <c r="D140" i="2" s="1"/>
  <c r="D136" i="2"/>
  <c r="E143" i="2"/>
  <c r="E140" i="2" s="1"/>
  <c r="D6" i="8" s="1"/>
  <c r="E136" i="2"/>
  <c r="C143" i="2"/>
  <c r="C140" i="2" s="1"/>
  <c r="C136" i="2"/>
  <c r="C96" i="2"/>
  <c r="C100" i="2"/>
  <c r="C104" i="2" s="1"/>
  <c r="G67" i="1"/>
  <c r="E96" i="2"/>
  <c r="E100" i="2"/>
  <c r="D96" i="2"/>
  <c r="D100" i="2"/>
  <c r="D20" i="8" l="1"/>
  <c r="D72" i="8"/>
  <c r="D77" i="8" s="1"/>
  <c r="D30" i="8"/>
  <c r="D25" i="8"/>
  <c r="D35" i="8"/>
  <c r="D44" i="8"/>
  <c r="G2" i="12"/>
  <c r="F2" i="12" s="1"/>
  <c r="H2" i="12" s="1"/>
  <c r="E104" i="2"/>
  <c r="E105" i="2"/>
  <c r="E106" i="2"/>
  <c r="D104" i="2"/>
  <c r="D105" i="2"/>
  <c r="D106" i="2"/>
  <c r="B247" i="2"/>
  <c r="B281" i="2" s="1"/>
  <c r="C105" i="2"/>
  <c r="C106" i="2"/>
  <c r="D11" i="8"/>
  <c r="F134" i="2"/>
  <c r="F139" i="2" s="1"/>
  <c r="F94" i="2"/>
  <c r="F99" i="2" s="1"/>
  <c r="F103" i="2" s="1"/>
  <c r="H67" i="1"/>
  <c r="D58" i="8" l="1"/>
  <c r="D49" i="8"/>
  <c r="B259" i="2"/>
  <c r="B266" i="2" s="1"/>
  <c r="F77" i="1"/>
  <c r="F143" i="2"/>
  <c r="F140" i="2" s="1"/>
  <c r="E6" i="8" s="1"/>
  <c r="F136" i="2"/>
  <c r="F74" i="1"/>
  <c r="F86" i="1"/>
  <c r="F73" i="1"/>
  <c r="F76" i="1"/>
  <c r="F78" i="1"/>
  <c r="B282" i="2"/>
  <c r="C6" i="4" s="1"/>
  <c r="G134" i="2"/>
  <c r="G139" i="2" s="1"/>
  <c r="G94" i="2"/>
  <c r="G99" i="2" s="1"/>
  <c r="G103" i="2" s="1"/>
  <c r="B248" i="2"/>
  <c r="F96" i="2"/>
  <c r="F100" i="2"/>
  <c r="F106" i="2" s="1"/>
  <c r="I67" i="1"/>
  <c r="E20" i="8" l="1"/>
  <c r="E25" i="8" s="1"/>
  <c r="E72" i="8"/>
  <c r="E77" i="8" s="1"/>
  <c r="D63" i="8"/>
  <c r="E35" i="8"/>
  <c r="E30" i="8"/>
  <c r="G3" i="12"/>
  <c r="F3" i="12" s="1"/>
  <c r="H3" i="12" s="1"/>
  <c r="F104" i="2"/>
  <c r="F105" i="2"/>
  <c r="E11" i="8"/>
  <c r="G76" i="1"/>
  <c r="E198" i="2" s="1"/>
  <c r="G143" i="2"/>
  <c r="G140" i="2" s="1"/>
  <c r="F6" i="8" s="1"/>
  <c r="G136" i="2"/>
  <c r="F136" i="1"/>
  <c r="D200" i="2"/>
  <c r="D224" i="2"/>
  <c r="D195" i="2"/>
  <c r="F131" i="1"/>
  <c r="D219" i="2"/>
  <c r="F134" i="1"/>
  <c r="D198" i="2"/>
  <c r="D222" i="2"/>
  <c r="G74" i="1"/>
  <c r="G77" i="1"/>
  <c r="G78" i="1"/>
  <c r="G73" i="1"/>
  <c r="D196" i="2"/>
  <c r="D220" i="2"/>
  <c r="F132" i="1"/>
  <c r="F135" i="1"/>
  <c r="D199" i="2"/>
  <c r="D223" i="2"/>
  <c r="C312" i="1"/>
  <c r="C303" i="1" s="1"/>
  <c r="C8" i="4"/>
  <c r="H134" i="2"/>
  <c r="H139" i="2" s="1"/>
  <c r="H94" i="2"/>
  <c r="H99" i="2" s="1"/>
  <c r="H103" i="2" s="1"/>
  <c r="B261" i="2"/>
  <c r="B265" i="2"/>
  <c r="J67" i="1"/>
  <c r="G96" i="2"/>
  <c r="G100" i="2"/>
  <c r="E44" i="8" l="1"/>
  <c r="F20" i="8"/>
  <c r="F35" i="8" s="1"/>
  <c r="F72" i="8"/>
  <c r="F77" i="8" s="1"/>
  <c r="E58" i="8"/>
  <c r="E49" i="8"/>
  <c r="F44" i="8"/>
  <c r="F30" i="8"/>
  <c r="F25" i="8"/>
  <c r="G4" i="12"/>
  <c r="F4" i="12" s="1"/>
  <c r="H4" i="12" s="1"/>
  <c r="G104" i="2"/>
  <c r="G105" i="2"/>
  <c r="G106" i="2"/>
  <c r="C31" i="4"/>
  <c r="C24" i="4" s="1"/>
  <c r="F11" i="8"/>
  <c r="E222" i="2"/>
  <c r="G134" i="1"/>
  <c r="E195" i="2"/>
  <c r="E219" i="2"/>
  <c r="G131" i="1"/>
  <c r="E199" i="2"/>
  <c r="E223" i="2"/>
  <c r="G135" i="1"/>
  <c r="H77" i="1"/>
  <c r="H73" i="1"/>
  <c r="H78" i="1"/>
  <c r="H74" i="1"/>
  <c r="H76" i="1"/>
  <c r="G132" i="1"/>
  <c r="E196" i="2"/>
  <c r="E220" i="2"/>
  <c r="H143" i="2"/>
  <c r="H140" i="2" s="1"/>
  <c r="G6" i="8" s="1"/>
  <c r="H136" i="2"/>
  <c r="E200" i="2"/>
  <c r="G136" i="1"/>
  <c r="E224" i="2"/>
  <c r="C306" i="1"/>
  <c r="C307" i="1" s="1"/>
  <c r="B268" i="2"/>
  <c r="B269" i="2" s="1"/>
  <c r="B272" i="2" s="1"/>
  <c r="B275" i="2" s="1"/>
  <c r="I134" i="2"/>
  <c r="I139" i="2" s="1"/>
  <c r="I94" i="2"/>
  <c r="I99" i="2" s="1"/>
  <c r="I103" i="2" s="1"/>
  <c r="K67" i="1"/>
  <c r="H96" i="2"/>
  <c r="H100" i="2"/>
  <c r="G20" i="8" l="1"/>
  <c r="G44" i="8" s="1"/>
  <c r="G72" i="8"/>
  <c r="G77" i="8" s="1"/>
  <c r="G35" i="8"/>
  <c r="G25" i="8"/>
  <c r="G30" i="8"/>
  <c r="F58" i="8"/>
  <c r="F49" i="8"/>
  <c r="E63" i="8"/>
  <c r="G5" i="12"/>
  <c r="F5" i="12" s="1"/>
  <c r="H5" i="12" s="1"/>
  <c r="H104" i="2"/>
  <c r="H105" i="2"/>
  <c r="H106" i="2"/>
  <c r="C22" i="4"/>
  <c r="C35" i="4"/>
  <c r="C44" i="4" s="1"/>
  <c r="C46" i="4" s="1"/>
  <c r="C47" i="4" s="1"/>
  <c r="D46" i="4" s="1"/>
  <c r="G11" i="8"/>
  <c r="H132" i="1"/>
  <c r="F220" i="2"/>
  <c r="F196" i="2"/>
  <c r="I143" i="2"/>
  <c r="I140" i="2" s="1"/>
  <c r="H6" i="8" s="1"/>
  <c r="I136" i="2"/>
  <c r="I76" i="1"/>
  <c r="I73" i="1"/>
  <c r="I77" i="1"/>
  <c r="I74" i="1"/>
  <c r="I78" i="1"/>
  <c r="H134" i="1"/>
  <c r="F222" i="2"/>
  <c r="F198" i="2"/>
  <c r="H135" i="1"/>
  <c r="F223" i="2"/>
  <c r="F199" i="2"/>
  <c r="F224" i="2"/>
  <c r="F200" i="2"/>
  <c r="H136" i="1"/>
  <c r="H131" i="1"/>
  <c r="F195" i="2"/>
  <c r="F219" i="2"/>
  <c r="B270" i="2"/>
  <c r="B273" i="2" s="1"/>
  <c r="B276" i="2" s="1"/>
  <c r="J134" i="2"/>
  <c r="J139" i="2" s="1"/>
  <c r="J94" i="2"/>
  <c r="J99" i="2" s="1"/>
  <c r="J103" i="2" s="1"/>
  <c r="L67" i="1"/>
  <c r="I96" i="2"/>
  <c r="I100" i="2"/>
  <c r="H20" i="8" l="1"/>
  <c r="H72" i="8"/>
  <c r="H77" i="8" s="1"/>
  <c r="F63" i="8"/>
  <c r="H30" i="8"/>
  <c r="H25" i="8"/>
  <c r="H35" i="8"/>
  <c r="H44" i="8"/>
  <c r="G49" i="8"/>
  <c r="G58" i="8"/>
  <c r="G6" i="12"/>
  <c r="F6" i="12" s="1"/>
  <c r="H6" i="12" s="1"/>
  <c r="I104" i="2"/>
  <c r="I105" i="2"/>
  <c r="I106" i="2"/>
  <c r="H11" i="8"/>
  <c r="J143" i="2"/>
  <c r="J140" i="2" s="1"/>
  <c r="I6" i="8" s="1"/>
  <c r="J136" i="2"/>
  <c r="G219" i="2"/>
  <c r="I131" i="1"/>
  <c r="G195" i="2"/>
  <c r="J77" i="1"/>
  <c r="J74" i="1"/>
  <c r="J76" i="1"/>
  <c r="J73" i="1"/>
  <c r="J78" i="1"/>
  <c r="G224" i="2"/>
  <c r="G200" i="2"/>
  <c r="I136" i="1"/>
  <c r="I132" i="1"/>
  <c r="G196" i="2"/>
  <c r="G220" i="2"/>
  <c r="I134" i="1"/>
  <c r="G198" i="2"/>
  <c r="G222" i="2"/>
  <c r="G199" i="2"/>
  <c r="G223" i="2"/>
  <c r="I135" i="1"/>
  <c r="B271" i="2"/>
  <c r="K134" i="2"/>
  <c r="K139" i="2" s="1"/>
  <c r="K94" i="2"/>
  <c r="K99" i="2" s="1"/>
  <c r="K103" i="2" s="1"/>
  <c r="J96" i="2"/>
  <c r="J100" i="2"/>
  <c r="M67" i="1"/>
  <c r="I20" i="8" l="1"/>
  <c r="I72" i="8"/>
  <c r="I77" i="8" s="1"/>
  <c r="I44" i="8"/>
  <c r="I30" i="8"/>
  <c r="I25" i="8"/>
  <c r="I35" i="8"/>
  <c r="H58" i="8"/>
  <c r="H49" i="8"/>
  <c r="G63" i="8"/>
  <c r="G7" i="12"/>
  <c r="F7" i="12" s="1"/>
  <c r="H7" i="12" s="1"/>
  <c r="J104" i="2"/>
  <c r="J105" i="2"/>
  <c r="D13" i="10"/>
  <c r="D18" i="10" s="1"/>
  <c r="D19" i="10" s="1"/>
  <c r="D20" i="10" s="1"/>
  <c r="J106" i="2"/>
  <c r="H224" i="2"/>
  <c r="H200" i="2"/>
  <c r="J136" i="1"/>
  <c r="H220" i="2"/>
  <c r="H196" i="2"/>
  <c r="J132" i="1"/>
  <c r="H223" i="2"/>
  <c r="H199" i="2"/>
  <c r="J135" i="1"/>
  <c r="K143" i="2"/>
  <c r="K140" i="2" s="1"/>
  <c r="J6" i="8" s="1"/>
  <c r="K136" i="2"/>
  <c r="H219" i="2"/>
  <c r="J131" i="1"/>
  <c r="H195" i="2"/>
  <c r="I11" i="8"/>
  <c r="H198" i="2"/>
  <c r="J134" i="1"/>
  <c r="H222" i="2"/>
  <c r="K73" i="1"/>
  <c r="K78" i="1"/>
  <c r="K77" i="1"/>
  <c r="K74" i="1"/>
  <c r="K76" i="1"/>
  <c r="L134" i="2"/>
  <c r="L139" i="2" s="1"/>
  <c r="L94" i="2"/>
  <c r="L99" i="2" s="1"/>
  <c r="L103" i="2" s="1"/>
  <c r="N67" i="1"/>
  <c r="K96" i="2"/>
  <c r="K100" i="2"/>
  <c r="K106" i="2" s="1"/>
  <c r="J20" i="8" l="1"/>
  <c r="J72" i="8"/>
  <c r="J77" i="8" s="1"/>
  <c r="H63" i="8"/>
  <c r="J44" i="8"/>
  <c r="J35" i="8"/>
  <c r="J25" i="8"/>
  <c r="J30" i="8"/>
  <c r="I58" i="8"/>
  <c r="I49" i="8"/>
  <c r="G8" i="12"/>
  <c r="F8" i="12" s="1"/>
  <c r="H8" i="12" s="1"/>
  <c r="K104" i="2"/>
  <c r="K105" i="2"/>
  <c r="J11" i="8"/>
  <c r="L143" i="2"/>
  <c r="L140" i="2" s="1"/>
  <c r="K6" i="8" s="1"/>
  <c r="L136" i="2"/>
  <c r="K79" i="1"/>
  <c r="I196" i="2"/>
  <c r="K132" i="1"/>
  <c r="I220" i="2"/>
  <c r="K136" i="1"/>
  <c r="I200" i="2"/>
  <c r="I224" i="2"/>
  <c r="L73" i="1"/>
  <c r="L78" i="1"/>
  <c r="L77" i="1"/>
  <c r="L76" i="1"/>
  <c r="L74" i="1"/>
  <c r="K135" i="1"/>
  <c r="I199" i="2"/>
  <c r="I223" i="2"/>
  <c r="K134" i="1"/>
  <c r="I198" i="2"/>
  <c r="I222" i="2"/>
  <c r="I219" i="2"/>
  <c r="K131" i="1"/>
  <c r="I195" i="2"/>
  <c r="K161" i="1"/>
  <c r="M134" i="2"/>
  <c r="M139" i="2" s="1"/>
  <c r="M94" i="2"/>
  <c r="L96" i="2"/>
  <c r="L100" i="2"/>
  <c r="L106" i="2" s="1"/>
  <c r="O67" i="1"/>
  <c r="M99" i="2" l="1"/>
  <c r="M103" i="2" s="1"/>
  <c r="M100" i="2" s="1"/>
  <c r="M106" i="2" s="1"/>
  <c r="K20" i="8"/>
  <c r="K35" i="8" s="1"/>
  <c r="K72" i="8"/>
  <c r="K77" i="8" s="1"/>
  <c r="I63" i="8"/>
  <c r="K25" i="8"/>
  <c r="K30" i="8"/>
  <c r="J58" i="8"/>
  <c r="J49" i="8"/>
  <c r="G9" i="12"/>
  <c r="F9" i="12" s="1"/>
  <c r="H9" i="12" s="1"/>
  <c r="L104" i="2"/>
  <c r="L105" i="2"/>
  <c r="K11" i="8"/>
  <c r="I225" i="2"/>
  <c r="L134" i="1"/>
  <c r="J198" i="2"/>
  <c r="J222" i="2"/>
  <c r="I201" i="2"/>
  <c r="I247" i="2" s="1"/>
  <c r="J224" i="2"/>
  <c r="L136" i="1"/>
  <c r="J200" i="2"/>
  <c r="M143" i="2"/>
  <c r="M140" i="2" s="1"/>
  <c r="L6" i="8" s="1"/>
  <c r="M136" i="2"/>
  <c r="L135" i="1"/>
  <c r="J223" i="2"/>
  <c r="J199" i="2"/>
  <c r="J196" i="2"/>
  <c r="J220" i="2"/>
  <c r="L132" i="1"/>
  <c r="J219" i="2"/>
  <c r="J195" i="2"/>
  <c r="L131" i="1"/>
  <c r="L79" i="1"/>
  <c r="L161" i="1"/>
  <c r="M76" i="1"/>
  <c r="M78" i="1"/>
  <c r="M77" i="1"/>
  <c r="M74" i="1"/>
  <c r="M73" i="1"/>
  <c r="N134" i="2"/>
  <c r="N139" i="2" s="1"/>
  <c r="N94" i="2"/>
  <c r="N99" i="2" s="1"/>
  <c r="N103" i="2" s="1"/>
  <c r="P67" i="1"/>
  <c r="M96" i="2"/>
  <c r="K44" i="8" l="1"/>
  <c r="L20" i="8"/>
  <c r="L30" i="8" s="1"/>
  <c r="L72" i="8"/>
  <c r="L77" i="8" s="1"/>
  <c r="J63" i="8"/>
  <c r="K49" i="8"/>
  <c r="K58" i="8"/>
  <c r="L25" i="8"/>
  <c r="L35" i="8"/>
  <c r="L44" i="8"/>
  <c r="G10" i="12"/>
  <c r="F10" i="12" s="1"/>
  <c r="H10" i="12" s="1"/>
  <c r="M104" i="2"/>
  <c r="M105" i="2"/>
  <c r="L11" i="8"/>
  <c r="H110" i="5"/>
  <c r="H108" i="5" s="1"/>
  <c r="J311" i="1"/>
  <c r="J304" i="1" s="1"/>
  <c r="N143" i="2"/>
  <c r="N140" i="2" s="1"/>
  <c r="M6" i="8" s="1"/>
  <c r="N136" i="2"/>
  <c r="M136" i="1"/>
  <c r="K224" i="2"/>
  <c r="K200" i="2"/>
  <c r="M134" i="1"/>
  <c r="K222" i="2"/>
  <c r="K198" i="2"/>
  <c r="K220" i="2"/>
  <c r="K196" i="2"/>
  <c r="M132" i="1"/>
  <c r="J201" i="2"/>
  <c r="J247" i="2" s="1"/>
  <c r="M131" i="1"/>
  <c r="K195" i="2"/>
  <c r="K219" i="2"/>
  <c r="M79" i="1"/>
  <c r="M161" i="1"/>
  <c r="K199" i="2"/>
  <c r="M135" i="1"/>
  <c r="K223" i="2"/>
  <c r="J225" i="2"/>
  <c r="N77" i="1"/>
  <c r="N74" i="1"/>
  <c r="N76" i="1"/>
  <c r="N73" i="1"/>
  <c r="N78" i="1"/>
  <c r="I259" i="2"/>
  <c r="I248" i="2"/>
  <c r="O134" i="2"/>
  <c r="O139" i="2" s="1"/>
  <c r="O94" i="2"/>
  <c r="O99" i="2" s="1"/>
  <c r="O103" i="2" s="1"/>
  <c r="N96" i="2"/>
  <c r="N100" i="2"/>
  <c r="Q67" i="1"/>
  <c r="M20" i="8" l="1"/>
  <c r="M25" i="8" s="1"/>
  <c r="M72" i="8"/>
  <c r="M77" i="8" s="1"/>
  <c r="L58" i="8"/>
  <c r="L49" i="8"/>
  <c r="K63" i="8"/>
  <c r="M35" i="8"/>
  <c r="M44" i="8"/>
  <c r="M30" i="8"/>
  <c r="G11" i="12"/>
  <c r="F11" i="12" s="1"/>
  <c r="H11" i="12" s="1"/>
  <c r="N104" i="2"/>
  <c r="N105" i="2"/>
  <c r="N106" i="2"/>
  <c r="M11" i="8"/>
  <c r="J305" i="1"/>
  <c r="K201" i="2"/>
  <c r="L198" i="2"/>
  <c r="L222" i="2"/>
  <c r="N134" i="1"/>
  <c r="I110" i="5"/>
  <c r="I108" i="5" s="1"/>
  <c r="K311" i="1"/>
  <c r="O73" i="1"/>
  <c r="O78" i="1"/>
  <c r="O76" i="1"/>
  <c r="O77" i="1"/>
  <c r="O74" i="1"/>
  <c r="L219" i="2"/>
  <c r="N131" i="1"/>
  <c r="L195" i="2"/>
  <c r="N79" i="1"/>
  <c r="N161" i="1"/>
  <c r="O143" i="2"/>
  <c r="O140" i="2" s="1"/>
  <c r="N6" i="8" s="1"/>
  <c r="O136" i="2"/>
  <c r="L196" i="2"/>
  <c r="L220" i="2"/>
  <c r="N132" i="1"/>
  <c r="J248" i="2"/>
  <c r="J259" i="2"/>
  <c r="L224" i="2"/>
  <c r="L200" i="2"/>
  <c r="N136" i="1"/>
  <c r="L199" i="2"/>
  <c r="N135" i="1"/>
  <c r="L223" i="2"/>
  <c r="K225" i="2"/>
  <c r="P134" i="2"/>
  <c r="P139" i="2" s="1"/>
  <c r="P94" i="2"/>
  <c r="P99" i="2" s="1"/>
  <c r="P103" i="2" s="1"/>
  <c r="R67" i="1"/>
  <c r="O96" i="2"/>
  <c r="O100" i="2"/>
  <c r="O106" i="2" s="1"/>
  <c r="N20" i="8" l="1"/>
  <c r="N25" i="8" s="1"/>
  <c r="N72" i="8"/>
  <c r="N77" i="8" s="1"/>
  <c r="L63" i="8"/>
  <c r="N30" i="8"/>
  <c r="N35" i="8"/>
  <c r="N44" i="8"/>
  <c r="M49" i="8"/>
  <c r="M58" i="8"/>
  <c r="G12" i="12"/>
  <c r="F12" i="12" s="1"/>
  <c r="H12" i="12" s="1"/>
  <c r="O104" i="2"/>
  <c r="O105" i="2"/>
  <c r="N11" i="8"/>
  <c r="K247" i="2"/>
  <c r="K259" i="2" s="1"/>
  <c r="L225" i="2"/>
  <c r="M224" i="2"/>
  <c r="O136" i="1"/>
  <c r="M200" i="2"/>
  <c r="K304" i="1"/>
  <c r="K30" i="4" s="1"/>
  <c r="K305" i="1"/>
  <c r="K32" i="4" s="1"/>
  <c r="O131" i="1"/>
  <c r="M195" i="2"/>
  <c r="M219" i="2"/>
  <c r="O79" i="1"/>
  <c r="O161" i="1"/>
  <c r="P143" i="2"/>
  <c r="P140" i="2" s="1"/>
  <c r="O6" i="8" s="1"/>
  <c r="P136" i="2"/>
  <c r="P73" i="1"/>
  <c r="P78" i="1"/>
  <c r="P74" i="1"/>
  <c r="P76" i="1"/>
  <c r="P77" i="1"/>
  <c r="L201" i="2"/>
  <c r="L247" i="2" s="1"/>
  <c r="O135" i="1"/>
  <c r="M199" i="2"/>
  <c r="M223" i="2"/>
  <c r="J110" i="5"/>
  <c r="J108" i="5" s="1"/>
  <c r="L311" i="1"/>
  <c r="O132" i="1"/>
  <c r="M196" i="2"/>
  <c r="M220" i="2"/>
  <c r="M198" i="2"/>
  <c r="O134" i="1"/>
  <c r="M222" i="2"/>
  <c r="Q134" i="2"/>
  <c r="Q139" i="2" s="1"/>
  <c r="Q94" i="2"/>
  <c r="Q99" i="2" s="1"/>
  <c r="Q103" i="2" s="1"/>
  <c r="P96" i="2"/>
  <c r="P100" i="2"/>
  <c r="S67" i="1"/>
  <c r="O20" i="8" l="1"/>
  <c r="O72" i="8"/>
  <c r="O77" i="8" s="1"/>
  <c r="N58" i="8"/>
  <c r="N49" i="8"/>
  <c r="O44" i="8"/>
  <c r="O30" i="8"/>
  <c r="O35" i="8"/>
  <c r="O25" i="8"/>
  <c r="M63" i="8"/>
  <c r="G13" i="12"/>
  <c r="F13" i="12" s="1"/>
  <c r="H13" i="12" s="1"/>
  <c r="P104" i="2"/>
  <c r="P105" i="2"/>
  <c r="P106" i="2"/>
  <c r="O11" i="8"/>
  <c r="K248" i="2"/>
  <c r="N223" i="2"/>
  <c r="N199" i="2"/>
  <c r="P135" i="1"/>
  <c r="N219" i="2"/>
  <c r="P131" i="1"/>
  <c r="N195" i="2"/>
  <c r="P79" i="1"/>
  <c r="P161" i="1"/>
  <c r="Q76" i="1"/>
  <c r="Q73" i="1"/>
  <c r="Q78" i="1"/>
  <c r="Q77" i="1"/>
  <c r="Q74" i="1"/>
  <c r="M201" i="2"/>
  <c r="M247" i="2" s="1"/>
  <c r="N198" i="2"/>
  <c r="N222" i="2"/>
  <c r="P134" i="1"/>
  <c r="N220" i="2"/>
  <c r="P132" i="1"/>
  <c r="N196" i="2"/>
  <c r="K110" i="5"/>
  <c r="K108" i="5" s="1"/>
  <c r="M311" i="1"/>
  <c r="Q143" i="2"/>
  <c r="Q140" i="2" s="1"/>
  <c r="P6" i="8" s="1"/>
  <c r="Q136" i="2"/>
  <c r="L304" i="1"/>
  <c r="L30" i="4" s="1"/>
  <c r="L305" i="1"/>
  <c r="L32" i="4" s="1"/>
  <c r="L248" i="2"/>
  <c r="L259" i="2"/>
  <c r="P136" i="1"/>
  <c r="N224" i="2"/>
  <c r="N200" i="2"/>
  <c r="M225" i="2"/>
  <c r="R134" i="2"/>
  <c r="R139" i="2" s="1"/>
  <c r="R94" i="2"/>
  <c r="R99" i="2" s="1"/>
  <c r="R103" i="2" s="1"/>
  <c r="T67" i="1"/>
  <c r="Q96" i="2"/>
  <c r="Q100" i="2"/>
  <c r="P20" i="8" l="1"/>
  <c r="P72" i="8"/>
  <c r="P77" i="8" s="1"/>
  <c r="N63" i="8"/>
  <c r="O58" i="8"/>
  <c r="O49" i="8"/>
  <c r="P44" i="8"/>
  <c r="P25" i="8"/>
  <c r="P35" i="8"/>
  <c r="P30" i="8"/>
  <c r="G14" i="12"/>
  <c r="F14" i="12" s="1"/>
  <c r="H14" i="12" s="1"/>
  <c r="Q104" i="2"/>
  <c r="Q105" i="2"/>
  <c r="Q106" i="2"/>
  <c r="P11" i="8"/>
  <c r="Q135" i="1"/>
  <c r="O223" i="2"/>
  <c r="O199" i="2"/>
  <c r="N311" i="1"/>
  <c r="L110" i="5"/>
  <c r="L108" i="5" s="1"/>
  <c r="O224" i="2"/>
  <c r="O200" i="2"/>
  <c r="Q136" i="1"/>
  <c r="N225" i="2"/>
  <c r="M248" i="2"/>
  <c r="M259" i="2"/>
  <c r="O195" i="2"/>
  <c r="O219" i="2"/>
  <c r="Q131" i="1"/>
  <c r="Q79" i="1"/>
  <c r="Q161" i="1"/>
  <c r="R143" i="2"/>
  <c r="R140" i="2" s="1"/>
  <c r="Q6" i="8" s="1"/>
  <c r="R136" i="2"/>
  <c r="R77" i="1"/>
  <c r="R74" i="1"/>
  <c r="R76" i="1"/>
  <c r="R73" i="1"/>
  <c r="R78" i="1"/>
  <c r="M305" i="1"/>
  <c r="M32" i="4" s="1"/>
  <c r="M304" i="1"/>
  <c r="M30" i="4" s="1"/>
  <c r="Q132" i="1"/>
  <c r="O220" i="2"/>
  <c r="O196" i="2"/>
  <c r="O222" i="2"/>
  <c r="Q134" i="1"/>
  <c r="O198" i="2"/>
  <c r="N201" i="2"/>
  <c r="N247" i="2" s="1"/>
  <c r="S134" i="2"/>
  <c r="S139" i="2" s="1"/>
  <c r="S94" i="2"/>
  <c r="S99" i="2" s="1"/>
  <c r="S103" i="2" s="1"/>
  <c r="R96" i="2"/>
  <c r="R100" i="2"/>
  <c r="U67" i="1"/>
  <c r="Q20" i="8" l="1"/>
  <c r="Q72" i="8"/>
  <c r="Q77" i="8" s="1"/>
  <c r="O63" i="8"/>
  <c r="Q44" i="8"/>
  <c r="Q30" i="8"/>
  <c r="Q25" i="8"/>
  <c r="Q35" i="8"/>
  <c r="P58" i="8"/>
  <c r="P49" i="8"/>
  <c r="G15" i="12"/>
  <c r="F15" i="12" s="1"/>
  <c r="H15" i="12" s="1"/>
  <c r="R104" i="2"/>
  <c r="R105" i="2"/>
  <c r="R106" i="2"/>
  <c r="Q11" i="8"/>
  <c r="R134" i="1"/>
  <c r="P198" i="2"/>
  <c r="P222" i="2"/>
  <c r="O201" i="2"/>
  <c r="O247" i="2" s="1"/>
  <c r="M110" i="5"/>
  <c r="M108" i="5" s="1"/>
  <c r="O311" i="1"/>
  <c r="R132" i="1"/>
  <c r="P196" i="2"/>
  <c r="P220" i="2"/>
  <c r="N259" i="2"/>
  <c r="N248" i="2"/>
  <c r="P200" i="2"/>
  <c r="P224" i="2"/>
  <c r="R136" i="1"/>
  <c r="P199" i="2"/>
  <c r="P223" i="2"/>
  <c r="R135" i="1"/>
  <c r="S143" i="2"/>
  <c r="S140" i="2" s="1"/>
  <c r="R6" i="8" s="1"/>
  <c r="S136" i="2"/>
  <c r="P219" i="2"/>
  <c r="R131" i="1"/>
  <c r="P195" i="2"/>
  <c r="R79" i="1"/>
  <c r="R161" i="1"/>
  <c r="S73" i="1"/>
  <c r="S78" i="1"/>
  <c r="S76" i="1"/>
  <c r="S77" i="1"/>
  <c r="S74" i="1"/>
  <c r="O225" i="2"/>
  <c r="N305" i="1"/>
  <c r="N32" i="4" s="1"/>
  <c r="N304" i="1"/>
  <c r="N30" i="4" s="1"/>
  <c r="T134" i="2"/>
  <c r="T139" i="2" s="1"/>
  <c r="T94" i="2"/>
  <c r="T99" i="2" s="1"/>
  <c r="T103" i="2" s="1"/>
  <c r="S96" i="2"/>
  <c r="S100" i="2"/>
  <c r="S106" i="2" s="1"/>
  <c r="V67" i="1"/>
  <c r="R20" i="8" l="1"/>
  <c r="R72" i="8"/>
  <c r="R77" i="8" s="1"/>
  <c r="P63" i="8"/>
  <c r="R44" i="8"/>
  <c r="R35" i="8"/>
  <c r="R30" i="8"/>
  <c r="R25" i="8"/>
  <c r="Q58" i="8"/>
  <c r="Q49" i="8"/>
  <c r="G16" i="12"/>
  <c r="F16" i="12" s="1"/>
  <c r="H16" i="12" s="1"/>
  <c r="S104" i="2"/>
  <c r="S105" i="2"/>
  <c r="R11" i="8"/>
  <c r="P225" i="2"/>
  <c r="P201" i="2"/>
  <c r="T73" i="1"/>
  <c r="T78" i="1"/>
  <c r="T76" i="1"/>
  <c r="T77" i="1"/>
  <c r="T74" i="1"/>
  <c r="O248" i="2"/>
  <c r="O259" i="2"/>
  <c r="N110" i="5"/>
  <c r="N108" i="5" s="1"/>
  <c r="P311" i="1"/>
  <c r="Q224" i="2"/>
  <c r="S136" i="1"/>
  <c r="Q200" i="2"/>
  <c r="Q196" i="2"/>
  <c r="Q220" i="2"/>
  <c r="S132" i="1"/>
  <c r="Q219" i="2"/>
  <c r="S131" i="1"/>
  <c r="Q195" i="2"/>
  <c r="S79" i="1"/>
  <c r="S161" i="1"/>
  <c r="Q222" i="2"/>
  <c r="Q198" i="2"/>
  <c r="S134" i="1"/>
  <c r="T143" i="2"/>
  <c r="T140" i="2" s="1"/>
  <c r="S6" i="8" s="1"/>
  <c r="T136" i="2"/>
  <c r="S135" i="1"/>
  <c r="Q223" i="2"/>
  <c r="Q199" i="2"/>
  <c r="O304" i="1"/>
  <c r="O30" i="4" s="1"/>
  <c r="O305" i="1"/>
  <c r="O32" i="4" s="1"/>
  <c r="U134" i="2"/>
  <c r="U139" i="2" s="1"/>
  <c r="U94" i="2"/>
  <c r="U99" i="2" s="1"/>
  <c r="U103" i="2" s="1"/>
  <c r="T96" i="2"/>
  <c r="T100" i="2"/>
  <c r="W67" i="1"/>
  <c r="S20" i="8" l="1"/>
  <c r="S72" i="8"/>
  <c r="S77" i="8" s="1"/>
  <c r="Q63" i="8"/>
  <c r="S44" i="8"/>
  <c r="S35" i="8"/>
  <c r="S25" i="8"/>
  <c r="S30" i="8"/>
  <c r="R58" i="8"/>
  <c r="R49" i="8"/>
  <c r="G17" i="12"/>
  <c r="F17" i="12" s="1"/>
  <c r="H17" i="12" s="1"/>
  <c r="T104" i="2"/>
  <c r="T105" i="2"/>
  <c r="T106" i="2"/>
  <c r="S11" i="8"/>
  <c r="O110" i="5"/>
  <c r="O108" i="5" s="1"/>
  <c r="Q311" i="1"/>
  <c r="Q304" i="1" s="1"/>
  <c r="P247" i="2"/>
  <c r="Q225" i="2"/>
  <c r="U76" i="1"/>
  <c r="U78" i="1"/>
  <c r="U73" i="1"/>
  <c r="U77" i="1"/>
  <c r="U74" i="1"/>
  <c r="R200" i="2"/>
  <c r="R224" i="2"/>
  <c r="T136" i="1"/>
  <c r="P305" i="1"/>
  <c r="P32" i="4" s="1"/>
  <c r="P304" i="1"/>
  <c r="P30" i="4" s="1"/>
  <c r="T132" i="1"/>
  <c r="R196" i="2"/>
  <c r="R220" i="2"/>
  <c r="T131" i="1"/>
  <c r="R219" i="2"/>
  <c r="R195" i="2"/>
  <c r="T79" i="1"/>
  <c r="T161" i="1"/>
  <c r="Q201" i="2"/>
  <c r="Q247" i="2" s="1"/>
  <c r="R199" i="2"/>
  <c r="T135" i="1"/>
  <c r="R223" i="2"/>
  <c r="U143" i="2"/>
  <c r="U140" i="2" s="1"/>
  <c r="T6" i="8" s="1"/>
  <c r="U136" i="2"/>
  <c r="T134" i="1"/>
  <c r="R198" i="2"/>
  <c r="R222" i="2"/>
  <c r="V134" i="2"/>
  <c r="V139" i="2" s="1"/>
  <c r="V94" i="2"/>
  <c r="V99" i="2" s="1"/>
  <c r="V103" i="2" s="1"/>
  <c r="X67" i="1"/>
  <c r="U96" i="2"/>
  <c r="U100" i="2"/>
  <c r="U106" i="2" s="1"/>
  <c r="T20" i="8" l="1"/>
  <c r="T72" i="8"/>
  <c r="T77" i="8" s="1"/>
  <c r="R63" i="8"/>
  <c r="T44" i="8"/>
  <c r="T35" i="8"/>
  <c r="T30" i="8"/>
  <c r="T25" i="8"/>
  <c r="S58" i="8"/>
  <c r="S49" i="8"/>
  <c r="G18" i="12"/>
  <c r="F18" i="12" s="1"/>
  <c r="H18" i="12" s="1"/>
  <c r="U104" i="2"/>
  <c r="U105" i="2"/>
  <c r="Q30" i="4"/>
  <c r="T11" i="8"/>
  <c r="Q305" i="1"/>
  <c r="Q32" i="4" s="1"/>
  <c r="R225" i="2"/>
  <c r="P248" i="2"/>
  <c r="P259" i="2"/>
  <c r="R311" i="1"/>
  <c r="R304" i="1" s="1"/>
  <c r="R30" i="4" s="1"/>
  <c r="P110" i="5"/>
  <c r="P108" i="5" s="1"/>
  <c r="R201" i="2"/>
  <c r="R247" i="2" s="1"/>
  <c r="U79" i="1"/>
  <c r="S219" i="2"/>
  <c r="U131" i="1"/>
  <c r="S195" i="2"/>
  <c r="U161" i="1"/>
  <c r="Q259" i="2"/>
  <c r="Q248" i="2"/>
  <c r="S220" i="2"/>
  <c r="S196" i="2"/>
  <c r="U132" i="1"/>
  <c r="S222" i="2"/>
  <c r="U134" i="1"/>
  <c r="S198" i="2"/>
  <c r="S200" i="2"/>
  <c r="U136" i="1"/>
  <c r="S224" i="2"/>
  <c r="V143" i="2"/>
  <c r="V140" i="2" s="1"/>
  <c r="U6" i="8" s="1"/>
  <c r="V136" i="2"/>
  <c r="V77" i="1"/>
  <c r="V74" i="1"/>
  <c r="V76" i="1"/>
  <c r="V73" i="1"/>
  <c r="V78" i="1"/>
  <c r="U135" i="1"/>
  <c r="S223" i="2"/>
  <c r="S199" i="2"/>
  <c r="W134" i="2"/>
  <c r="W139" i="2" s="1"/>
  <c r="W94" i="2"/>
  <c r="W99" i="2" s="1"/>
  <c r="W103" i="2" s="1"/>
  <c r="V96" i="2"/>
  <c r="V100" i="2"/>
  <c r="Y67" i="1"/>
  <c r="U20" i="8" l="1"/>
  <c r="U35" i="8" s="1"/>
  <c r="U72" i="8"/>
  <c r="U77" i="8" s="1"/>
  <c r="S63" i="8"/>
  <c r="U44" i="8"/>
  <c r="U25" i="8"/>
  <c r="U30" i="8"/>
  <c r="T58" i="8"/>
  <c r="T49" i="8"/>
  <c r="G19" i="12"/>
  <c r="F19" i="12" s="1"/>
  <c r="H19" i="12" s="1"/>
  <c r="V104" i="2"/>
  <c r="V105" i="2"/>
  <c r="V106" i="2"/>
  <c r="U11" i="8"/>
  <c r="R305" i="1"/>
  <c r="R32" i="4" s="1"/>
  <c r="Q110" i="5"/>
  <c r="Q108" i="5" s="1"/>
  <c r="S311" i="1"/>
  <c r="S304" i="1" s="1"/>
  <c r="S30" i="4" s="1"/>
  <c r="V134" i="1"/>
  <c r="T222" i="2"/>
  <c r="T198" i="2"/>
  <c r="S201" i="2"/>
  <c r="S247" i="2" s="1"/>
  <c r="T196" i="2"/>
  <c r="T220" i="2"/>
  <c r="V132" i="1"/>
  <c r="W73" i="1"/>
  <c r="W78" i="1"/>
  <c r="W77" i="1"/>
  <c r="W74" i="1"/>
  <c r="W76" i="1"/>
  <c r="T224" i="2"/>
  <c r="V136" i="1"/>
  <c r="T200" i="2"/>
  <c r="T199" i="2"/>
  <c r="T223" i="2"/>
  <c r="V135" i="1"/>
  <c r="S225" i="2"/>
  <c r="R259" i="2"/>
  <c r="R248" i="2"/>
  <c r="W143" i="2"/>
  <c r="W140" i="2" s="1"/>
  <c r="V6" i="8" s="1"/>
  <c r="W136" i="2"/>
  <c r="V131" i="1"/>
  <c r="T195" i="2"/>
  <c r="T219" i="2"/>
  <c r="X134" i="2"/>
  <c r="X139" i="2" s="1"/>
  <c r="X94" i="2"/>
  <c r="X99" i="2" s="1"/>
  <c r="X103" i="2" s="1"/>
  <c r="W96" i="2"/>
  <c r="W100" i="2"/>
  <c r="Z67" i="1"/>
  <c r="V20" i="8" l="1"/>
  <c r="V25" i="8" s="1"/>
  <c r="V72" i="8"/>
  <c r="V77" i="8" s="1"/>
  <c r="T63" i="8"/>
  <c r="V44" i="8"/>
  <c r="V35" i="8"/>
  <c r="V30" i="8"/>
  <c r="U49" i="8"/>
  <c r="U58" i="8"/>
  <c r="G20" i="12"/>
  <c r="F20" i="12" s="1"/>
  <c r="H20" i="12" s="1"/>
  <c r="W104" i="2"/>
  <c r="W105" i="2"/>
  <c r="W106" i="2"/>
  <c r="V11" i="8"/>
  <c r="S305" i="1"/>
  <c r="S32" i="4" s="1"/>
  <c r="X143" i="2"/>
  <c r="X140" i="2" s="1"/>
  <c r="W6" i="8" s="1"/>
  <c r="X136" i="2"/>
  <c r="W134" i="1"/>
  <c r="U222" i="2"/>
  <c r="U198" i="2"/>
  <c r="U219" i="2"/>
  <c r="W131" i="1"/>
  <c r="U195" i="2"/>
  <c r="S248" i="2"/>
  <c r="S259" i="2"/>
  <c r="U199" i="2"/>
  <c r="U223" i="2"/>
  <c r="W135" i="1"/>
  <c r="U220" i="2"/>
  <c r="W132" i="1"/>
  <c r="U196" i="2"/>
  <c r="X73" i="1"/>
  <c r="X78" i="1"/>
  <c r="X77" i="1"/>
  <c r="X74" i="1"/>
  <c r="X76" i="1"/>
  <c r="R110" i="5"/>
  <c r="R108" i="5" s="1"/>
  <c r="T311" i="1"/>
  <c r="U200" i="2"/>
  <c r="W136" i="1"/>
  <c r="U224" i="2"/>
  <c r="Y134" i="2"/>
  <c r="Y139" i="2" s="1"/>
  <c r="Y94" i="2"/>
  <c r="Y99" i="2" s="1"/>
  <c r="Y103" i="2" s="1"/>
  <c r="AA67" i="1"/>
  <c r="X96" i="2"/>
  <c r="X100" i="2"/>
  <c r="X106" i="2" s="1"/>
  <c r="W20" i="8" l="1"/>
  <c r="W72" i="8"/>
  <c r="W77" i="8" s="1"/>
  <c r="U63" i="8"/>
  <c r="W44" i="8"/>
  <c r="W25" i="8"/>
  <c r="W30" i="8"/>
  <c r="W35" i="8"/>
  <c r="V58" i="8"/>
  <c r="V49" i="8"/>
  <c r="G21" i="12"/>
  <c r="F21" i="12" s="1"/>
  <c r="H21" i="12" s="1"/>
  <c r="X104" i="2"/>
  <c r="X105" i="2"/>
  <c r="W11" i="8"/>
  <c r="V223" i="2"/>
  <c r="V199" i="2"/>
  <c r="X135" i="1"/>
  <c r="V200" i="2"/>
  <c r="V224" i="2"/>
  <c r="X136" i="1"/>
  <c r="V222" i="2"/>
  <c r="X134" i="1"/>
  <c r="V198" i="2"/>
  <c r="V219" i="2"/>
  <c r="V195" i="2"/>
  <c r="X131" i="1"/>
  <c r="Y143" i="2"/>
  <c r="Y140" i="2" s="1"/>
  <c r="X6" i="8" s="1"/>
  <c r="Y136" i="2"/>
  <c r="T304" i="1"/>
  <c r="T30" i="4" s="1"/>
  <c r="T305" i="1"/>
  <c r="T32" i="4" s="1"/>
  <c r="V196" i="2"/>
  <c r="V220" i="2"/>
  <c r="X132" i="1"/>
  <c r="Y76" i="1"/>
  <c r="Y77" i="1"/>
  <c r="Y74" i="1"/>
  <c r="Y73" i="1"/>
  <c r="Y78" i="1"/>
  <c r="Z134" i="2"/>
  <c r="Z139" i="2" s="1"/>
  <c r="Z94" i="2"/>
  <c r="Z99" i="2" s="1"/>
  <c r="Z103" i="2" s="1"/>
  <c r="AB67" i="1"/>
  <c r="Y96" i="2"/>
  <c r="Y100" i="2"/>
  <c r="X20" i="8" l="1"/>
  <c r="X72" i="8"/>
  <c r="X77" i="8" s="1"/>
  <c r="V63" i="8"/>
  <c r="X44" i="8"/>
  <c r="X25" i="8"/>
  <c r="X35" i="8"/>
  <c r="X30" i="8"/>
  <c r="W58" i="8"/>
  <c r="W49" i="8"/>
  <c r="G22" i="12"/>
  <c r="F22" i="12" s="1"/>
  <c r="H22" i="12" s="1"/>
  <c r="Y104" i="2"/>
  <c r="Y105" i="2"/>
  <c r="Y106" i="2"/>
  <c r="X11" i="8"/>
  <c r="W196" i="2"/>
  <c r="W220" i="2"/>
  <c r="Y132" i="1"/>
  <c r="Z143" i="2"/>
  <c r="Z140" i="2" s="1"/>
  <c r="Y6" i="8" s="1"/>
  <c r="Z136" i="2"/>
  <c r="W195" i="2"/>
  <c r="W219" i="2"/>
  <c r="Y131" i="1"/>
  <c r="Z77" i="1"/>
  <c r="Z74" i="1"/>
  <c r="Z76" i="1"/>
  <c r="Z73" i="1"/>
  <c r="Z78" i="1"/>
  <c r="Y135" i="1"/>
  <c r="W199" i="2"/>
  <c r="W223" i="2"/>
  <c r="W200" i="2"/>
  <c r="Y136" i="1"/>
  <c r="W224" i="2"/>
  <c r="Y134" i="1"/>
  <c r="W222" i="2"/>
  <c r="W198" i="2"/>
  <c r="AA134" i="2"/>
  <c r="AA139" i="2" s="1"/>
  <c r="AA94" i="2"/>
  <c r="AA99" i="2" s="1"/>
  <c r="AA103" i="2" s="1"/>
  <c r="Z96" i="2"/>
  <c r="Z100" i="2"/>
  <c r="Z106" i="2" s="1"/>
  <c r="AC67" i="1"/>
  <c r="Y20" i="8" l="1"/>
  <c r="Y25" i="8" s="1"/>
  <c r="Y72" i="8"/>
  <c r="Y77" i="8" s="1"/>
  <c r="W63" i="8"/>
  <c r="Y44" i="8"/>
  <c r="Y30" i="8"/>
  <c r="Y35" i="8"/>
  <c r="X58" i="8"/>
  <c r="X49" i="8"/>
  <c r="G23" i="12"/>
  <c r="F23" i="12" s="1"/>
  <c r="H23" i="12" s="1"/>
  <c r="Z104" i="2"/>
  <c r="Z105" i="2"/>
  <c r="Y11" i="8"/>
  <c r="AA143" i="2"/>
  <c r="AA140" i="2" s="1"/>
  <c r="Z6" i="8" s="1"/>
  <c r="AA136" i="2"/>
  <c r="X196" i="2"/>
  <c r="X220" i="2"/>
  <c r="Z132" i="1"/>
  <c r="AA73" i="1"/>
  <c r="AA78" i="1"/>
  <c r="AA76" i="1"/>
  <c r="AA77" i="1"/>
  <c r="AA74" i="1"/>
  <c r="X223" i="2"/>
  <c r="Z135" i="1"/>
  <c r="X199" i="2"/>
  <c r="Z136" i="1"/>
  <c r="X200" i="2"/>
  <c r="X224" i="2"/>
  <c r="Z131" i="1"/>
  <c r="X219" i="2"/>
  <c r="X195" i="2"/>
  <c r="Z134" i="1"/>
  <c r="X198" i="2"/>
  <c r="X222" i="2"/>
  <c r="AB134" i="2"/>
  <c r="AB139" i="2" s="1"/>
  <c r="AB94" i="2"/>
  <c r="AB99" i="2" s="1"/>
  <c r="AB103" i="2" s="1"/>
  <c r="AD67" i="1"/>
  <c r="AA96" i="2"/>
  <c r="AA100" i="2"/>
  <c r="Z20" i="8" l="1"/>
  <c r="Z25" i="8" s="1"/>
  <c r="Z72" i="8"/>
  <c r="Z77" i="8" s="1"/>
  <c r="X63" i="8"/>
  <c r="Z44" i="8"/>
  <c r="Z35" i="8"/>
  <c r="Z30" i="8"/>
  <c r="Y58" i="8"/>
  <c r="Y49" i="8"/>
  <c r="G24" i="12"/>
  <c r="F24" i="12" s="1"/>
  <c r="H24" i="12" s="1"/>
  <c r="AA104" i="2"/>
  <c r="AA105" i="2"/>
  <c r="AA106" i="2"/>
  <c r="Z11" i="8"/>
  <c r="Y220" i="2"/>
  <c r="AA132" i="1"/>
  <c r="Y196" i="2"/>
  <c r="AA136" i="1"/>
  <c r="Y200" i="2"/>
  <c r="Y224" i="2"/>
  <c r="Y195" i="2"/>
  <c r="AA131" i="1"/>
  <c r="Y219" i="2"/>
  <c r="AB143" i="2"/>
  <c r="AB140" i="2" s="1"/>
  <c r="AA6" i="8" s="1"/>
  <c r="AB136" i="2"/>
  <c r="AA135" i="1"/>
  <c r="Y199" i="2"/>
  <c r="Y223" i="2"/>
  <c r="AA134" i="1"/>
  <c r="Y222" i="2"/>
  <c r="Y198" i="2"/>
  <c r="AB77" i="1"/>
  <c r="AB74" i="1"/>
  <c r="AB73" i="1"/>
  <c r="AB78" i="1"/>
  <c r="AB76" i="1"/>
  <c r="AC134" i="2"/>
  <c r="AC139" i="2" s="1"/>
  <c r="AC94" i="2"/>
  <c r="AC99" i="2" s="1"/>
  <c r="AC103" i="2" s="1"/>
  <c r="AB96" i="2"/>
  <c r="AB100" i="2"/>
  <c r="AE67" i="1"/>
  <c r="AA20" i="8" l="1"/>
  <c r="AA35" i="8" s="1"/>
  <c r="AA72" i="8"/>
  <c r="AA77" i="8" s="1"/>
  <c r="Y63" i="8"/>
  <c r="AA44" i="8"/>
  <c r="AA30" i="8"/>
  <c r="AA25" i="8"/>
  <c r="Z58" i="8"/>
  <c r="Z49" i="8"/>
  <c r="G25" i="12"/>
  <c r="F25" i="12" s="1"/>
  <c r="H25" i="12" s="1"/>
  <c r="AB104" i="2"/>
  <c r="AB105" i="2"/>
  <c r="AB106" i="2"/>
  <c r="AA11" i="8"/>
  <c r="Z222" i="2"/>
  <c r="AB134" i="1"/>
  <c r="Z198" i="2"/>
  <c r="AC143" i="2"/>
  <c r="AC140" i="2" s="1"/>
  <c r="AB6" i="8" s="1"/>
  <c r="AC136" i="2"/>
  <c r="AB132" i="1"/>
  <c r="Z220" i="2"/>
  <c r="Z196" i="2"/>
  <c r="Z200" i="2"/>
  <c r="Z224" i="2"/>
  <c r="AB136" i="1"/>
  <c r="AC76" i="1"/>
  <c r="AC73" i="1"/>
  <c r="AC78" i="1"/>
  <c r="AC77" i="1"/>
  <c r="AC74" i="1"/>
  <c r="Z199" i="2"/>
  <c r="AB135" i="1"/>
  <c r="Z223" i="2"/>
  <c r="Z195" i="2"/>
  <c r="AB131" i="1"/>
  <c r="Z219" i="2"/>
  <c r="AD134" i="2"/>
  <c r="AD139" i="2" s="1"/>
  <c r="AD94" i="2"/>
  <c r="AD99" i="2" s="1"/>
  <c r="AD103" i="2" s="1"/>
  <c r="AC96" i="2"/>
  <c r="AC100" i="2"/>
  <c r="AF67" i="1"/>
  <c r="AB20" i="8" l="1"/>
  <c r="AB30" i="8" s="1"/>
  <c r="AB72" i="8"/>
  <c r="AB77" i="8" s="1"/>
  <c r="Z63" i="8"/>
  <c r="AB44" i="8"/>
  <c r="AB35" i="8"/>
  <c r="AB25" i="8"/>
  <c r="AA58" i="8"/>
  <c r="AA49" i="8"/>
  <c r="G26" i="12"/>
  <c r="F26" i="12" s="1"/>
  <c r="H26" i="12" s="1"/>
  <c r="AC104" i="2"/>
  <c r="AC105" i="2"/>
  <c r="AC106" i="2"/>
  <c r="AB11" i="8"/>
  <c r="AA199" i="2"/>
  <c r="AA223" i="2"/>
  <c r="AC135" i="1"/>
  <c r="AD77" i="1"/>
  <c r="AD74" i="1"/>
  <c r="AD76" i="1"/>
  <c r="AD73" i="1"/>
  <c r="AD78" i="1"/>
  <c r="AC136" i="1"/>
  <c r="AA224" i="2"/>
  <c r="AA200" i="2"/>
  <c r="AD143" i="2"/>
  <c r="AD140" i="2" s="1"/>
  <c r="AC6" i="8" s="1"/>
  <c r="AD136" i="2"/>
  <c r="AC131" i="1"/>
  <c r="AA219" i="2"/>
  <c r="AA195" i="2"/>
  <c r="AA196" i="2"/>
  <c r="AC132" i="1"/>
  <c r="AA220" i="2"/>
  <c r="AC134" i="1"/>
  <c r="AA198" i="2"/>
  <c r="AA222" i="2"/>
  <c r="AE134" i="2"/>
  <c r="AE139" i="2" s="1"/>
  <c r="AE94" i="2"/>
  <c r="AE99" i="2" s="1"/>
  <c r="AE103" i="2" s="1"/>
  <c r="AD96" i="2"/>
  <c r="AD100" i="2"/>
  <c r="AG67" i="1"/>
  <c r="AC20" i="8" l="1"/>
  <c r="AC72" i="8"/>
  <c r="AC77" i="8" s="1"/>
  <c r="AA63" i="8"/>
  <c r="AC44" i="8"/>
  <c r="AC30" i="8"/>
  <c r="AC35" i="8"/>
  <c r="AC25" i="8"/>
  <c r="AB58" i="8"/>
  <c r="AB49" i="8"/>
  <c r="G27" i="12"/>
  <c r="F27" i="12" s="1"/>
  <c r="H27" i="12" s="1"/>
  <c r="AD104" i="2"/>
  <c r="AD105" i="2"/>
  <c r="AD106" i="2"/>
  <c r="AC11" i="8"/>
  <c r="AE143" i="2"/>
  <c r="AE140" i="2" s="1"/>
  <c r="AD6" i="8" s="1"/>
  <c r="AE136" i="2"/>
  <c r="AD131" i="1"/>
  <c r="AB195" i="2"/>
  <c r="AB219" i="2"/>
  <c r="AB198" i="2"/>
  <c r="AD134" i="1"/>
  <c r="AB222" i="2"/>
  <c r="AD132" i="1"/>
  <c r="AB220" i="2"/>
  <c r="AB196" i="2"/>
  <c r="AE73" i="1"/>
  <c r="AE78" i="1"/>
  <c r="AE77" i="1"/>
  <c r="AE74" i="1"/>
  <c r="AE76" i="1"/>
  <c r="AD136" i="1"/>
  <c r="AB224" i="2"/>
  <c r="AB200" i="2"/>
  <c r="AD135" i="1"/>
  <c r="AB199" i="2"/>
  <c r="AB223" i="2"/>
  <c r="AF134" i="2"/>
  <c r="AF139" i="2" s="1"/>
  <c r="AF94" i="2"/>
  <c r="AF99" i="2" s="1"/>
  <c r="AF103" i="2" s="1"/>
  <c r="AH67" i="1"/>
  <c r="AE96" i="2"/>
  <c r="AE100" i="2"/>
  <c r="AD20" i="8" l="1"/>
  <c r="AD30" i="8" s="1"/>
  <c r="AD72" i="8"/>
  <c r="AD77" i="8" s="1"/>
  <c r="AB63" i="8"/>
  <c r="AD44" i="8"/>
  <c r="AD25" i="8"/>
  <c r="AD35" i="8"/>
  <c r="AC58" i="8"/>
  <c r="AC49" i="8"/>
  <c r="G28" i="12"/>
  <c r="F28" i="12" s="1"/>
  <c r="H28" i="12" s="1"/>
  <c r="AE104" i="2"/>
  <c r="AE105" i="2"/>
  <c r="AE106" i="2"/>
  <c r="AD11" i="8"/>
  <c r="AF143" i="2"/>
  <c r="AF140" i="2" s="1"/>
  <c r="AE6" i="8" s="1"/>
  <c r="AF136" i="2"/>
  <c r="AC196" i="2"/>
  <c r="AC220" i="2"/>
  <c r="AE132" i="1"/>
  <c r="AE135" i="1"/>
  <c r="AC223" i="2"/>
  <c r="AC199" i="2"/>
  <c r="AE136" i="1"/>
  <c r="AC200" i="2"/>
  <c r="AC224" i="2"/>
  <c r="AE134" i="1"/>
  <c r="AC222" i="2"/>
  <c r="AC198" i="2"/>
  <c r="AC195" i="2"/>
  <c r="AC219" i="2"/>
  <c r="AE131" i="1"/>
  <c r="AF73" i="1"/>
  <c r="AF78" i="1"/>
  <c r="AF76" i="1"/>
  <c r="AF77" i="1"/>
  <c r="AF74" i="1"/>
  <c r="AG134" i="2"/>
  <c r="AG139" i="2" s="1"/>
  <c r="AG94" i="2"/>
  <c r="AG99" i="2" s="1"/>
  <c r="AG103" i="2" s="1"/>
  <c r="AF96" i="2"/>
  <c r="AF100" i="2"/>
  <c r="AI67" i="1"/>
  <c r="AE20" i="8" l="1"/>
  <c r="AE30" i="8" s="1"/>
  <c r="AE72" i="8"/>
  <c r="AE77" i="8" s="1"/>
  <c r="AC63" i="8"/>
  <c r="AE35" i="8"/>
  <c r="AE44" i="8"/>
  <c r="AE25" i="8"/>
  <c r="AD58" i="8"/>
  <c r="AD49" i="8"/>
  <c r="G29" i="12"/>
  <c r="F29" i="12" s="1"/>
  <c r="H29" i="12" s="1"/>
  <c r="AF104" i="2"/>
  <c r="AF105" i="2"/>
  <c r="AF106" i="2"/>
  <c r="AE11" i="8"/>
  <c r="AD195" i="2"/>
  <c r="AF131" i="1"/>
  <c r="AD219" i="2"/>
  <c r="AG143" i="2"/>
  <c r="AG140" i="2" s="1"/>
  <c r="AF6" i="8" s="1"/>
  <c r="AG136" i="2"/>
  <c r="AF136" i="1"/>
  <c r="AD200" i="2"/>
  <c r="AD224" i="2"/>
  <c r="AF135" i="1"/>
  <c r="AD223" i="2"/>
  <c r="AD199" i="2"/>
  <c r="AD220" i="2"/>
  <c r="AF132" i="1"/>
  <c r="AD196" i="2"/>
  <c r="AF134" i="1"/>
  <c r="AD198" i="2"/>
  <c r="AD222" i="2"/>
  <c r="AG76" i="1"/>
  <c r="AG73" i="1"/>
  <c r="AG78" i="1"/>
  <c r="AG77" i="1"/>
  <c r="AG74" i="1"/>
  <c r="AH94" i="2"/>
  <c r="AH99" i="2" s="1"/>
  <c r="AH134" i="2"/>
  <c r="AH139" i="2" s="1"/>
  <c r="AG96" i="2"/>
  <c r="AG100" i="2"/>
  <c r="AF20" i="8" l="1"/>
  <c r="AF25" i="8" s="1"/>
  <c r="AF72" i="8"/>
  <c r="AF77" i="8" s="1"/>
  <c r="AD63" i="8"/>
  <c r="AF30" i="8"/>
  <c r="AF44" i="8"/>
  <c r="AF35" i="8"/>
  <c r="AE58" i="8"/>
  <c r="AE49" i="8"/>
  <c r="G30" i="12"/>
  <c r="F30" i="12" s="1"/>
  <c r="H30" i="12" s="1"/>
  <c r="AG104" i="2"/>
  <c r="AG105" i="2"/>
  <c r="AG106" i="2"/>
  <c r="AF11" i="8"/>
  <c r="AG131" i="1"/>
  <c r="AE195" i="2"/>
  <c r="AE219" i="2"/>
  <c r="AH77" i="1"/>
  <c r="AH74" i="1"/>
  <c r="AH76" i="1"/>
  <c r="AH73" i="1"/>
  <c r="AH78" i="1"/>
  <c r="AG132" i="1"/>
  <c r="AE196" i="2"/>
  <c r="AE220" i="2"/>
  <c r="AE198" i="2"/>
  <c r="AE222" i="2"/>
  <c r="AG134" i="1"/>
  <c r="AE199" i="2"/>
  <c r="AG135" i="1"/>
  <c r="AE223" i="2"/>
  <c r="AH143" i="2"/>
  <c r="AH140" i="2" s="1"/>
  <c r="AG6" i="8" s="1"/>
  <c r="AH136" i="2"/>
  <c r="AE224" i="2"/>
  <c r="AG136" i="1"/>
  <c r="AE200" i="2"/>
  <c r="AH103" i="2"/>
  <c r="AH96" i="2"/>
  <c r="C28" i="2"/>
  <c r="D28" i="2"/>
  <c r="C13" i="2"/>
  <c r="C12" i="2" s="1"/>
  <c r="AG20" i="8" l="1"/>
  <c r="AG25" i="8" s="1"/>
  <c r="AG72" i="8"/>
  <c r="AG77" i="8" s="1"/>
  <c r="AE63" i="8"/>
  <c r="AF49" i="8"/>
  <c r="AF58" i="8"/>
  <c r="AG44" i="8"/>
  <c r="AG30" i="8"/>
  <c r="AG35" i="8"/>
  <c r="E71" i="1"/>
  <c r="E161" i="1" s="1"/>
  <c r="F71" i="1"/>
  <c r="F79" i="1" s="1"/>
  <c r="AH100" i="2"/>
  <c r="AH106" i="2" s="1"/>
  <c r="AG11" i="8"/>
  <c r="C11" i="8" s="1"/>
  <c r="AH131" i="1"/>
  <c r="AF195" i="2"/>
  <c r="AF219" i="2"/>
  <c r="AF222" i="2"/>
  <c r="AH134" i="1"/>
  <c r="AF198" i="2"/>
  <c r="AF196" i="2"/>
  <c r="AH132" i="1"/>
  <c r="AF220" i="2"/>
  <c r="AI73" i="1"/>
  <c r="AI78" i="1"/>
  <c r="AI76" i="1"/>
  <c r="AI77" i="1"/>
  <c r="AI74" i="1"/>
  <c r="AH136" i="1"/>
  <c r="AF224" i="2"/>
  <c r="AF200" i="2"/>
  <c r="AF199" i="2"/>
  <c r="AF223" i="2"/>
  <c r="AH135" i="1"/>
  <c r="C193" i="2"/>
  <c r="C201" i="2" s="1"/>
  <c r="C247" i="2" s="1"/>
  <c r="E129" i="1"/>
  <c r="D217" i="2"/>
  <c r="D225" i="2" s="1"/>
  <c r="C217" i="2"/>
  <c r="C225" i="2" s="1"/>
  <c r="D13" i="2"/>
  <c r="D12" i="2" s="1"/>
  <c r="F28" i="2"/>
  <c r="E28" i="2"/>
  <c r="E79" i="1" l="1"/>
  <c r="F161" i="1"/>
  <c r="AF63" i="8"/>
  <c r="AG58" i="8"/>
  <c r="AG49" i="8"/>
  <c r="C49" i="8" s="1"/>
  <c r="C44" i="8"/>
  <c r="F129" i="1"/>
  <c r="G71" i="1"/>
  <c r="G79" i="1" s="1"/>
  <c r="H71" i="1"/>
  <c r="H79" i="1" s="1"/>
  <c r="D193" i="2"/>
  <c r="D201" i="2" s="1"/>
  <c r="D247" i="2" s="1"/>
  <c r="G31" i="12"/>
  <c r="F31" i="12" s="1"/>
  <c r="H31" i="12" s="1"/>
  <c r="AH104" i="2"/>
  <c r="AH105" i="2"/>
  <c r="C6" i="8"/>
  <c r="C30" i="8"/>
  <c r="C20" i="8"/>
  <c r="AI132" i="1"/>
  <c r="AG196" i="2"/>
  <c r="AG220" i="2"/>
  <c r="AG195" i="2"/>
  <c r="AI131" i="1"/>
  <c r="AG219" i="2"/>
  <c r="AI135" i="1"/>
  <c r="AG223" i="2"/>
  <c r="AG199" i="2"/>
  <c r="AI134" i="1"/>
  <c r="AG198" i="2"/>
  <c r="AG222" i="2"/>
  <c r="AI136" i="1"/>
  <c r="AG224" i="2"/>
  <c r="AG200" i="2"/>
  <c r="D311" i="1"/>
  <c r="D304" i="1" s="1"/>
  <c r="D30" i="4" s="1"/>
  <c r="E311" i="1"/>
  <c r="E304" i="1" s="1"/>
  <c r="C110" i="5"/>
  <c r="C108" i="5" s="1"/>
  <c r="B110" i="5"/>
  <c r="B108" i="5" s="1"/>
  <c r="F217" i="2"/>
  <c r="F225" i="2" s="1"/>
  <c r="E217" i="2"/>
  <c r="E225" i="2" s="1"/>
  <c r="E13" i="2"/>
  <c r="F13" i="2" s="1"/>
  <c r="G28" i="2"/>
  <c r="E193" i="2" l="1"/>
  <c r="E201" i="2" s="1"/>
  <c r="E247" i="2" s="1"/>
  <c r="G161" i="1"/>
  <c r="C77" i="8"/>
  <c r="C72" i="8"/>
  <c r="AG63" i="8"/>
  <c r="C63" i="8" s="1"/>
  <c r="C58" i="8"/>
  <c r="C25" i="8"/>
  <c r="C35" i="8"/>
  <c r="G129" i="1"/>
  <c r="H129" i="1"/>
  <c r="I71" i="1"/>
  <c r="I79" i="1" s="1"/>
  <c r="F193" i="2"/>
  <c r="F201" i="2" s="1"/>
  <c r="F247" i="2" s="1"/>
  <c r="H161" i="1"/>
  <c r="E30" i="4"/>
  <c r="D305" i="1"/>
  <c r="D32" i="4" s="1"/>
  <c r="D110" i="5"/>
  <c r="D108" i="5" s="1"/>
  <c r="D248" i="2"/>
  <c r="D259" i="2"/>
  <c r="C248" i="2"/>
  <c r="C259" i="2"/>
  <c r="E305" i="1"/>
  <c r="G311" i="1"/>
  <c r="G305" i="1" s="1"/>
  <c r="E110" i="5"/>
  <c r="E108" i="5" s="1"/>
  <c r="G217" i="2"/>
  <c r="G225" i="2" s="1"/>
  <c r="F311" i="1"/>
  <c r="F304" i="1" s="1"/>
  <c r="E12" i="2"/>
  <c r="F12" i="2"/>
  <c r="G13" i="2"/>
  <c r="H28" i="2"/>
  <c r="G193" i="2" l="1"/>
  <c r="G201" i="2" s="1"/>
  <c r="G247" i="2" s="1"/>
  <c r="I161" i="1"/>
  <c r="I129" i="1"/>
  <c r="E32" i="4"/>
  <c r="J71" i="1"/>
  <c r="J79" i="1" s="1"/>
  <c r="H311" i="1"/>
  <c r="H305" i="1" s="1"/>
  <c r="H32" i="4" s="1"/>
  <c r="F248" i="2"/>
  <c r="F259" i="2"/>
  <c r="F110" i="5"/>
  <c r="F108" i="5" s="1"/>
  <c r="G248" i="2"/>
  <c r="E259" i="2"/>
  <c r="E248" i="2"/>
  <c r="G304" i="1"/>
  <c r="G30" i="4" s="1"/>
  <c r="F305" i="1"/>
  <c r="F32" i="4" s="1"/>
  <c r="H217" i="2"/>
  <c r="H225" i="2" s="1"/>
  <c r="F30" i="4"/>
  <c r="H13" i="2"/>
  <c r="G12" i="2"/>
  <c r="J129" i="1" l="1"/>
  <c r="H193" i="2"/>
  <c r="H201" i="2" s="1"/>
  <c r="H247" i="2" s="1"/>
  <c r="J161" i="1"/>
  <c r="G32" i="4"/>
  <c r="H304" i="1"/>
  <c r="H30" i="4" s="1"/>
  <c r="G259" i="2"/>
  <c r="G110" i="5"/>
  <c r="G108" i="5" s="1"/>
  <c r="I311" i="1"/>
  <c r="I305" i="1" s="1"/>
  <c r="I13" i="2"/>
  <c r="H12" i="2"/>
  <c r="I32" i="4" l="1"/>
  <c r="J32" i="4"/>
  <c r="H248" i="2"/>
  <c r="H259" i="2"/>
  <c r="I304" i="1"/>
  <c r="J13" i="2"/>
  <c r="I12" i="2"/>
  <c r="I30" i="4" l="1"/>
  <c r="J30" i="4"/>
  <c r="K13" i="2"/>
  <c r="J12" i="2"/>
  <c r="K12" i="2" l="1"/>
  <c r="L13" i="2"/>
  <c r="C23" i="8" l="1"/>
  <c r="L12" i="2"/>
  <c r="M13" i="2"/>
  <c r="M12" i="2" l="1"/>
  <c r="N13" i="2"/>
  <c r="O13" i="2" l="1"/>
  <c r="N12" i="2"/>
  <c r="O12" i="2" l="1"/>
  <c r="P13" i="2"/>
  <c r="P12" i="2" l="1"/>
  <c r="Q13" i="2"/>
  <c r="R13" i="2" l="1"/>
  <c r="Q12" i="2"/>
  <c r="Z28" i="2"/>
  <c r="U28" i="2"/>
  <c r="AG28" i="2"/>
  <c r="AF28" i="2"/>
  <c r="AB28" i="2"/>
  <c r="Y28" i="2"/>
  <c r="AA28" i="2"/>
  <c r="AC28" i="2"/>
  <c r="W28" i="2"/>
  <c r="T28" i="2"/>
  <c r="AE28" i="2"/>
  <c r="V28" i="2"/>
  <c r="X28" i="2"/>
  <c r="AD28" i="2"/>
  <c r="AF71" i="1" l="1"/>
  <c r="AF79" i="1" s="1"/>
  <c r="W71" i="1"/>
  <c r="W79" i="1" s="1"/>
  <c r="Y71" i="1"/>
  <c r="Y79" i="1" s="1"/>
  <c r="AD71" i="1"/>
  <c r="AD79" i="1" s="1"/>
  <c r="X71" i="1"/>
  <c r="X79" i="1" s="1"/>
  <c r="AE71" i="1"/>
  <c r="AE79" i="1" s="1"/>
  <c r="AH71" i="1"/>
  <c r="AH79" i="1" s="1"/>
  <c r="V71" i="1"/>
  <c r="V79" i="1" s="1"/>
  <c r="AA71" i="1"/>
  <c r="AA79" i="1" s="1"/>
  <c r="Z71" i="1"/>
  <c r="Z79" i="1" s="1"/>
  <c r="AB71" i="1"/>
  <c r="AB79" i="1" s="1"/>
  <c r="AG71" i="1"/>
  <c r="AG79" i="1" s="1"/>
  <c r="AC71" i="1"/>
  <c r="AC79" i="1" s="1"/>
  <c r="AI71" i="1"/>
  <c r="AI79" i="1" s="1"/>
  <c r="W193" i="2"/>
  <c r="W201" i="2" s="1"/>
  <c r="W247" i="2" s="1"/>
  <c r="Y217" i="2"/>
  <c r="Y225" i="2" s="1"/>
  <c r="W217" i="2"/>
  <c r="W225" i="2" s="1"/>
  <c r="AB217" i="2"/>
  <c r="AB225" i="2" s="1"/>
  <c r="Z217" i="2"/>
  <c r="Z225" i="2" s="1"/>
  <c r="T217" i="2"/>
  <c r="T225" i="2" s="1"/>
  <c r="X217" i="2"/>
  <c r="X225" i="2" s="1"/>
  <c r="AC217" i="2"/>
  <c r="AC225" i="2" s="1"/>
  <c r="AF217" i="2"/>
  <c r="AF225" i="2" s="1"/>
  <c r="AD217" i="2"/>
  <c r="AD225" i="2" s="1"/>
  <c r="U217" i="2"/>
  <c r="U225" i="2" s="1"/>
  <c r="V217" i="2"/>
  <c r="V225" i="2" s="1"/>
  <c r="AE217" i="2"/>
  <c r="AE225" i="2" s="1"/>
  <c r="AA217" i="2"/>
  <c r="AA225" i="2" s="1"/>
  <c r="AG217" i="2"/>
  <c r="AG225" i="2" s="1"/>
  <c r="R12" i="2"/>
  <c r="S13" i="2"/>
  <c r="X161" i="1" l="1"/>
  <c r="AE161" i="1"/>
  <c r="AF129" i="1"/>
  <c r="AC129" i="1"/>
  <c r="AA193" i="2"/>
  <c r="AA201" i="2" s="1"/>
  <c r="AA247" i="2" s="1"/>
  <c r="AD193" i="2"/>
  <c r="AD201" i="2" s="1"/>
  <c r="AD247" i="2" s="1"/>
  <c r="V193" i="2"/>
  <c r="V201" i="2" s="1"/>
  <c r="V247" i="2" s="1"/>
  <c r="X193" i="2"/>
  <c r="X201" i="2" s="1"/>
  <c r="X247" i="2" s="1"/>
  <c r="AA129" i="1"/>
  <c r="AC161" i="1"/>
  <c r="Y193" i="2"/>
  <c r="Y201" i="2" s="1"/>
  <c r="Y247" i="2" s="1"/>
  <c r="X129" i="1"/>
  <c r="AF161" i="1"/>
  <c r="AH129" i="1"/>
  <c r="W161" i="1"/>
  <c r="AG193" i="2"/>
  <c r="AG201" i="2" s="1"/>
  <c r="AG247" i="2" s="1"/>
  <c r="Z129" i="1"/>
  <c r="AE129" i="1"/>
  <c r="AA161" i="1"/>
  <c r="AF193" i="2"/>
  <c r="AF201" i="2" s="1"/>
  <c r="AF247" i="2" s="1"/>
  <c r="AB161" i="1"/>
  <c r="AD129" i="1"/>
  <c r="AB193" i="2"/>
  <c r="AB201" i="2" s="1"/>
  <c r="AB247" i="2" s="1"/>
  <c r="AG161" i="1"/>
  <c r="T193" i="2"/>
  <c r="T201" i="2" s="1"/>
  <c r="T247" i="2" s="1"/>
  <c r="T248" i="2" s="1"/>
  <c r="AB129" i="1"/>
  <c r="Y161" i="1"/>
  <c r="AG129" i="1"/>
  <c r="AH161" i="1"/>
  <c r="Z193" i="2"/>
  <c r="Z201" i="2" s="1"/>
  <c r="Z247" i="2" s="1"/>
  <c r="Z248" i="2" s="1"/>
  <c r="Y129" i="1"/>
  <c r="AI161" i="1"/>
  <c r="AE193" i="2"/>
  <c r="AE201" i="2" s="1"/>
  <c r="AE247" i="2" s="1"/>
  <c r="AE248" i="2" s="1"/>
  <c r="V161" i="1"/>
  <c r="AC193" i="2"/>
  <c r="AC201" i="2" s="1"/>
  <c r="AC247" i="2" s="1"/>
  <c r="W129" i="1"/>
  <c r="AI129" i="1"/>
  <c r="Z161" i="1"/>
  <c r="V129" i="1"/>
  <c r="AD161" i="1"/>
  <c r="U193" i="2"/>
  <c r="U201" i="2" s="1"/>
  <c r="U247" i="2" s="1"/>
  <c r="U248" i="2" s="1"/>
  <c r="AH311" i="1"/>
  <c r="AH304" i="1" s="1"/>
  <c r="AD110" i="5"/>
  <c r="AD108" i="5" s="1"/>
  <c r="Y311" i="1"/>
  <c r="Y305" i="1" s="1"/>
  <c r="AA311" i="1"/>
  <c r="AA305" i="1" s="1"/>
  <c r="V110" i="5"/>
  <c r="V108" i="5" s="1"/>
  <c r="AE311" i="1"/>
  <c r="AE304" i="1" s="1"/>
  <c r="X110" i="5"/>
  <c r="X108" i="5" s="1"/>
  <c r="AD311" i="1"/>
  <c r="AD305" i="1" s="1"/>
  <c r="AA110" i="5"/>
  <c r="AA108" i="5" s="1"/>
  <c r="V248" i="2"/>
  <c r="Z110" i="5"/>
  <c r="Z108" i="5" s="1"/>
  <c r="W248" i="2"/>
  <c r="U110" i="5"/>
  <c r="U108" i="5" s="1"/>
  <c r="V311" i="1"/>
  <c r="V304" i="1" s="1"/>
  <c r="AB311" i="1"/>
  <c r="AB304" i="1" s="1"/>
  <c r="U311" i="1"/>
  <c r="U305" i="1" s="1"/>
  <c r="U32" i="4" s="1"/>
  <c r="S110" i="5"/>
  <c r="S108" i="5" s="1"/>
  <c r="AB110" i="5"/>
  <c r="AB108" i="5" s="1"/>
  <c r="AC311" i="1"/>
  <c r="AC305" i="1" s="1"/>
  <c r="W311" i="1"/>
  <c r="W305" i="1" s="1"/>
  <c r="AC110" i="5"/>
  <c r="AC108" i="5" s="1"/>
  <c r="X311" i="1"/>
  <c r="X305" i="1" s="1"/>
  <c r="W110" i="5"/>
  <c r="W108" i="5" s="1"/>
  <c r="AF311" i="1"/>
  <c r="AF304" i="1" s="1"/>
  <c r="T110" i="5"/>
  <c r="T108" i="5" s="1"/>
  <c r="Y110" i="5"/>
  <c r="Y108" i="5" s="1"/>
  <c r="Z311" i="1"/>
  <c r="Z305" i="1" s="1"/>
  <c r="Z32" i="4" s="1"/>
  <c r="AG311" i="1"/>
  <c r="AG305" i="1" s="1"/>
  <c r="B227" i="2"/>
  <c r="AE110" i="5"/>
  <c r="AE108" i="5" s="1"/>
  <c r="T13" i="2"/>
  <c r="S12" i="2"/>
  <c r="AD32" i="4" l="1"/>
  <c r="AA32" i="4"/>
  <c r="X32" i="4"/>
  <c r="AF30" i="4"/>
  <c r="Y32" i="4"/>
  <c r="AA304" i="1"/>
  <c r="AB30" i="4" s="1"/>
  <c r="Y304" i="1"/>
  <c r="AH305" i="1"/>
  <c r="AH32" i="4" s="1"/>
  <c r="V305" i="1"/>
  <c r="V32" i="4" s="1"/>
  <c r="AE305" i="1"/>
  <c r="AE32" i="4" s="1"/>
  <c r="AD304" i="1"/>
  <c r="AE30" i="4" s="1"/>
  <c r="AB305" i="1"/>
  <c r="AB32" i="4" s="1"/>
  <c r="AC248" i="2"/>
  <c r="W259" i="2"/>
  <c r="T259" i="2"/>
  <c r="Z304" i="1"/>
  <c r="AB248" i="2"/>
  <c r="AD248" i="2"/>
  <c r="AA248" i="2"/>
  <c r="X248" i="2"/>
  <c r="AA259" i="2"/>
  <c r="Y248" i="2"/>
  <c r="AF248" i="2"/>
  <c r="AG259" i="2"/>
  <c r="Y259" i="2"/>
  <c r="U259" i="2"/>
  <c r="AG248" i="2"/>
  <c r="X259" i="2"/>
  <c r="AD259" i="2"/>
  <c r="Z259" i="2"/>
  <c r="AF259" i="2"/>
  <c r="AE259" i="2"/>
  <c r="AB259" i="2"/>
  <c r="AC259" i="2"/>
  <c r="V259" i="2"/>
  <c r="W304" i="1"/>
  <c r="W30" i="4" s="1"/>
  <c r="AC304" i="1"/>
  <c r="AC30" i="4" s="1"/>
  <c r="F62" i="6"/>
  <c r="U304" i="1"/>
  <c r="U30" i="4" s="1"/>
  <c r="X304" i="1"/>
  <c r="X30" i="4" s="1"/>
  <c r="AF305" i="1"/>
  <c r="AG304" i="1"/>
  <c r="AG30" i="4" s="1"/>
  <c r="U13" i="2"/>
  <c r="T12" i="2"/>
  <c r="AF32" i="4" l="1"/>
  <c r="Y30" i="4"/>
  <c r="W32" i="4"/>
  <c r="AH30" i="4"/>
  <c r="Z30" i="4"/>
  <c r="AC32" i="4"/>
  <c r="AD30" i="4"/>
  <c r="V30" i="4"/>
  <c r="AA30" i="4"/>
  <c r="AG32" i="4"/>
  <c r="V13" i="2"/>
  <c r="U12" i="2"/>
  <c r="W13" i="2" l="1"/>
  <c r="V12" i="2"/>
  <c r="X13" i="2" l="1"/>
  <c r="W12" i="2"/>
  <c r="Y13" i="2" l="1"/>
  <c r="X12" i="2"/>
  <c r="Z13" i="2" l="1"/>
  <c r="Y12" i="2"/>
  <c r="AA13" i="2" l="1"/>
  <c r="Z12" i="2"/>
  <c r="D39" i="4" l="1"/>
  <c r="AB13" i="2"/>
  <c r="AA12" i="2"/>
  <c r="D43" i="4" l="1"/>
  <c r="AC13" i="2"/>
  <c r="AB12" i="2"/>
  <c r="AD13" i="2" l="1"/>
  <c r="AC12" i="2"/>
  <c r="AE13" i="2" l="1"/>
  <c r="AD12" i="2"/>
  <c r="U32" i="2"/>
  <c r="X32" i="2"/>
  <c r="W32" i="2"/>
  <c r="V32" i="2"/>
  <c r="T32" i="2"/>
  <c r="Y32" i="2"/>
  <c r="T17" i="2"/>
  <c r="T16" i="2" s="1"/>
  <c r="AF13" i="2" l="1"/>
  <c r="AE12" i="2"/>
  <c r="U17" i="2"/>
  <c r="AG13" i="2" l="1"/>
  <c r="AG12" i="2" s="1"/>
  <c r="AF12" i="2"/>
  <c r="V17" i="2"/>
  <c r="U16" i="2"/>
  <c r="W17" i="2" l="1"/>
  <c r="V16" i="2"/>
  <c r="W16" i="2" l="1"/>
  <c r="X17" i="2"/>
  <c r="C61" i="8" l="1"/>
  <c r="X16" i="2"/>
  <c r="Y17" i="2"/>
  <c r="Z17" i="2" s="1"/>
  <c r="Y16" i="2" l="1"/>
  <c r="AA17" i="2" l="1"/>
  <c r="AB17" i="2" l="1"/>
  <c r="AC17" i="2" l="1"/>
  <c r="AD17" i="2" l="1"/>
  <c r="AE17" i="2" l="1"/>
  <c r="AF17" i="2" l="1"/>
  <c r="AG17" i="2" l="1"/>
  <c r="C47" i="8" l="1"/>
  <c r="C56" i="8" l="1"/>
  <c r="H24" i="2"/>
  <c r="H10" i="2"/>
  <c r="I26" i="2" l="1"/>
  <c r="I10" i="2" s="1"/>
  <c r="J100" i="1"/>
  <c r="J166" i="1" s="1"/>
  <c r="H232" i="2"/>
  <c r="H240" i="2" s="1"/>
  <c r="I7" i="4" s="1"/>
  <c r="H8" i="2"/>
  <c r="F24" i="2"/>
  <c r="G24" i="2"/>
  <c r="I100" i="1" s="1"/>
  <c r="D24" i="2"/>
  <c r="E24" i="2"/>
  <c r="C24" i="2"/>
  <c r="I25" i="4"/>
  <c r="G6" i="5" l="1"/>
  <c r="G61" i="5" s="1"/>
  <c r="I24" i="2"/>
  <c r="K100" i="1" s="1"/>
  <c r="J149" i="1"/>
  <c r="H205" i="2"/>
  <c r="H213" i="2" s="1"/>
  <c r="H253" i="2" s="1"/>
  <c r="E25" i="4"/>
  <c r="D232" i="2"/>
  <c r="D240" i="2" s="1"/>
  <c r="F100" i="1"/>
  <c r="G25" i="4"/>
  <c r="F232" i="2"/>
  <c r="F240" i="2" s="1"/>
  <c r="H100" i="1"/>
  <c r="J25" i="4"/>
  <c r="I232" i="2"/>
  <c r="I240" i="2" s="1"/>
  <c r="G60" i="5"/>
  <c r="H5" i="8"/>
  <c r="H71" i="8" s="1"/>
  <c r="H76" i="8" s="1"/>
  <c r="G76" i="5"/>
  <c r="D25" i="4"/>
  <c r="C232" i="2"/>
  <c r="C240" i="2" s="1"/>
  <c r="D7" i="4" s="1"/>
  <c r="E100" i="1"/>
  <c r="H25" i="4"/>
  <c r="G232" i="2"/>
  <c r="G240" i="2" s="1"/>
  <c r="J26" i="2"/>
  <c r="G100" i="1"/>
  <c r="F25" i="4"/>
  <c r="E232" i="2"/>
  <c r="E240" i="2" s="1"/>
  <c r="H260" i="2" l="1"/>
  <c r="H254" i="2"/>
  <c r="H281" i="2"/>
  <c r="H282" i="2" s="1"/>
  <c r="H10" i="8"/>
  <c r="H19" i="8"/>
  <c r="H149" i="1"/>
  <c r="H166" i="1"/>
  <c r="F205" i="2"/>
  <c r="F213" i="2" s="1"/>
  <c r="F253" i="2" s="1"/>
  <c r="E7" i="4"/>
  <c r="C6" i="5"/>
  <c r="G166" i="1"/>
  <c r="E205" i="2"/>
  <c r="E213" i="2" s="1"/>
  <c r="E253" i="2" s="1"/>
  <c r="G149" i="1"/>
  <c r="K149" i="1"/>
  <c r="K166" i="1"/>
  <c r="I205" i="2"/>
  <c r="I213" i="2" s="1"/>
  <c r="I253" i="2" s="1"/>
  <c r="G7" i="4"/>
  <c r="E6" i="5"/>
  <c r="E61" i="5" s="1"/>
  <c r="F7" i="4"/>
  <c r="D6" i="5"/>
  <c r="D61" i="5" s="1"/>
  <c r="I8" i="2"/>
  <c r="J24" i="2"/>
  <c r="L100" i="1" s="1"/>
  <c r="J7" i="4"/>
  <c r="H6" i="5"/>
  <c r="H61" i="5" s="1"/>
  <c r="I149" i="1"/>
  <c r="I166" i="1"/>
  <c r="G205" i="2"/>
  <c r="G213" i="2" s="1"/>
  <c r="G253" i="2" s="1"/>
  <c r="E149" i="1"/>
  <c r="E108" i="1"/>
  <c r="E166" i="1"/>
  <c r="C205" i="2"/>
  <c r="C213" i="2" s="1"/>
  <c r="C253" i="2" s="1"/>
  <c r="G75" i="5"/>
  <c r="G91" i="5"/>
  <c r="F166" i="1"/>
  <c r="F149" i="1"/>
  <c r="D205" i="2"/>
  <c r="D213" i="2" s="1"/>
  <c r="D253" i="2" s="1"/>
  <c r="H7" i="4"/>
  <c r="F6" i="5"/>
  <c r="F61" i="5" s="1"/>
  <c r="H29" i="8" l="1"/>
  <c r="H24" i="8"/>
  <c r="H34" i="8" s="1"/>
  <c r="G5" i="5"/>
  <c r="G58" i="5" s="1"/>
  <c r="G72" i="5" s="1"/>
  <c r="I312" i="1"/>
  <c r="I303" i="1" s="1"/>
  <c r="I306" i="1" s="1"/>
  <c r="I6" i="4"/>
  <c r="I8" i="4" s="1"/>
  <c r="H261" i="2"/>
  <c r="H266" i="2"/>
  <c r="H265" i="2" s="1"/>
  <c r="H268" i="2" s="1"/>
  <c r="H43" i="8"/>
  <c r="D76" i="5"/>
  <c r="D60" i="5"/>
  <c r="E5" i="8"/>
  <c r="E71" i="8" s="1"/>
  <c r="E76" i="8" s="1"/>
  <c r="E254" i="2"/>
  <c r="E260" i="2"/>
  <c r="E281" i="2"/>
  <c r="E282" i="2" s="1"/>
  <c r="G254" i="2"/>
  <c r="G281" i="2"/>
  <c r="G282" i="2" s="1"/>
  <c r="G260" i="2"/>
  <c r="K25" i="4"/>
  <c r="J232" i="2"/>
  <c r="J240" i="2" s="1"/>
  <c r="F254" i="2"/>
  <c r="F260" i="2"/>
  <c r="F281" i="2"/>
  <c r="F282" i="2" s="1"/>
  <c r="D254" i="2"/>
  <c r="D260" i="2"/>
  <c r="D281" i="2"/>
  <c r="D282" i="2" s="1"/>
  <c r="H60" i="5"/>
  <c r="H76" i="5"/>
  <c r="I5" i="8"/>
  <c r="I71" i="8" s="1"/>
  <c r="I76" i="8" s="1"/>
  <c r="J10" i="2"/>
  <c r="K26" i="2" s="1"/>
  <c r="E60" i="5"/>
  <c r="F5" i="8"/>
  <c r="F71" i="8" s="1"/>
  <c r="F76" i="8" s="1"/>
  <c r="E76" i="5"/>
  <c r="I254" i="2"/>
  <c r="I260" i="2"/>
  <c r="I281" i="2"/>
  <c r="I282" i="2" s="1"/>
  <c r="C61" i="5"/>
  <c r="F60" i="5"/>
  <c r="G5" i="8"/>
  <c r="G71" i="8" s="1"/>
  <c r="G76" i="8" s="1"/>
  <c r="F76" i="5"/>
  <c r="C254" i="2"/>
  <c r="C260" i="2"/>
  <c r="C281" i="2"/>
  <c r="C282" i="2" s="1"/>
  <c r="F105" i="5" l="1"/>
  <c r="F104" i="5" s="1"/>
  <c r="F111" i="5" s="1"/>
  <c r="G57" i="5"/>
  <c r="G63" i="5" s="1"/>
  <c r="H269" i="2"/>
  <c r="H272" i="2" s="1"/>
  <c r="H270" i="2"/>
  <c r="H273" i="2" s="1"/>
  <c r="H276" i="2" s="1"/>
  <c r="J6" i="4"/>
  <c r="J8" i="4" s="1"/>
  <c r="J312" i="1"/>
  <c r="J303" i="1" s="1"/>
  <c r="H5" i="5"/>
  <c r="I10" i="8"/>
  <c r="I19" i="8"/>
  <c r="D261" i="2"/>
  <c r="D266" i="2"/>
  <c r="D265" i="2" s="1"/>
  <c r="D268" i="2" s="1"/>
  <c r="G261" i="2"/>
  <c r="G266" i="2"/>
  <c r="G265" i="2" s="1"/>
  <c r="G268" i="2" s="1"/>
  <c r="F10" i="8"/>
  <c r="F19" i="8"/>
  <c r="K7" i="4"/>
  <c r="I6" i="5"/>
  <c r="F312" i="1"/>
  <c r="F303" i="1" s="1"/>
  <c r="F6" i="4"/>
  <c r="F8" i="4" s="1"/>
  <c r="D5" i="5"/>
  <c r="D312" i="1"/>
  <c r="D303" i="1" s="1"/>
  <c r="D6" i="4"/>
  <c r="D8" i="4" s="1"/>
  <c r="F75" i="5"/>
  <c r="F91" i="5"/>
  <c r="J8" i="2"/>
  <c r="K10" i="2"/>
  <c r="L26" i="2" s="1"/>
  <c r="K24" i="2"/>
  <c r="M100" i="1" s="1"/>
  <c r="C5" i="5"/>
  <c r="E312" i="1"/>
  <c r="E303" i="1" s="1"/>
  <c r="E6" i="4"/>
  <c r="E8" i="4" s="1"/>
  <c r="F266" i="2"/>
  <c r="F265" i="2" s="1"/>
  <c r="F268" i="2" s="1"/>
  <c r="F261" i="2"/>
  <c r="D75" i="5"/>
  <c r="D91" i="5"/>
  <c r="C261" i="2"/>
  <c r="C266" i="2"/>
  <c r="C265" i="2" s="1"/>
  <c r="C268" i="2" s="1"/>
  <c r="G10" i="8"/>
  <c r="G19" i="8"/>
  <c r="E75" i="5"/>
  <c r="E91" i="5"/>
  <c r="G88" i="5"/>
  <c r="G87" i="5" s="1"/>
  <c r="G71" i="5"/>
  <c r="G78" i="5" s="1"/>
  <c r="L166" i="1"/>
  <c r="L149" i="1"/>
  <c r="J205" i="2"/>
  <c r="J213" i="2" s="1"/>
  <c r="J253" i="2" s="1"/>
  <c r="H57" i="8"/>
  <c r="H62" i="8" s="1"/>
  <c r="H48" i="8"/>
  <c r="I266" i="2"/>
  <c r="I265" i="2" s="1"/>
  <c r="I268" i="2" s="1"/>
  <c r="I261" i="2"/>
  <c r="H91" i="5"/>
  <c r="H75" i="5"/>
  <c r="F5" i="5"/>
  <c r="H312" i="1"/>
  <c r="H303" i="1" s="1"/>
  <c r="H6" i="4"/>
  <c r="H8" i="4" s="1"/>
  <c r="E10" i="8"/>
  <c r="E19" i="8"/>
  <c r="E29" i="8" s="1"/>
  <c r="C60" i="5"/>
  <c r="D5" i="8"/>
  <c r="D71" i="8" s="1"/>
  <c r="D76" i="8" s="1"/>
  <c r="C76" i="5"/>
  <c r="E5" i="5"/>
  <c r="G6" i="4"/>
  <c r="G8" i="4" s="1"/>
  <c r="G312" i="1"/>
  <c r="G303" i="1" s="1"/>
  <c r="E261" i="2"/>
  <c r="E266" i="2"/>
  <c r="E265" i="2" s="1"/>
  <c r="E268" i="2" s="1"/>
  <c r="G29" i="8" l="1"/>
  <c r="G24" i="8"/>
  <c r="G34" i="8" s="1"/>
  <c r="I29" i="8"/>
  <c r="I24" i="8"/>
  <c r="I34" i="8" s="1"/>
  <c r="H275" i="2"/>
  <c r="H271" i="2"/>
  <c r="F24" i="8"/>
  <c r="F34" i="8" s="1"/>
  <c r="F29" i="8"/>
  <c r="C75" i="5"/>
  <c r="C91" i="5"/>
  <c r="E43" i="8"/>
  <c r="E24" i="8"/>
  <c r="E34" i="8" s="1"/>
  <c r="H31" i="4"/>
  <c r="H306" i="1"/>
  <c r="I31" i="4"/>
  <c r="K8" i="2"/>
  <c r="L24" i="2"/>
  <c r="N100" i="1" s="1"/>
  <c r="F31" i="4"/>
  <c r="F306" i="1"/>
  <c r="F43" i="8"/>
  <c r="H58" i="5"/>
  <c r="F58" i="5"/>
  <c r="C270" i="2"/>
  <c r="C273" i="2" s="1"/>
  <c r="C276" i="2" s="1"/>
  <c r="C269" i="2"/>
  <c r="C272" i="2" s="1"/>
  <c r="E31" i="4"/>
  <c r="E306" i="1"/>
  <c r="J31" i="4"/>
  <c r="J306" i="1"/>
  <c r="J307" i="1" s="1"/>
  <c r="H7" i="5" s="1"/>
  <c r="H8" i="5" s="1"/>
  <c r="D10" i="8"/>
  <c r="D19" i="8"/>
  <c r="D29" i="8" s="1"/>
  <c r="C58" i="5"/>
  <c r="E269" i="2"/>
  <c r="E272" i="2" s="1"/>
  <c r="E270" i="2"/>
  <c r="E273" i="2" s="1"/>
  <c r="E276" i="2" s="1"/>
  <c r="E58" i="5"/>
  <c r="G43" i="8"/>
  <c r="F270" i="2"/>
  <c r="F273" i="2" s="1"/>
  <c r="F276" i="2" s="1"/>
  <c r="F269" i="2"/>
  <c r="F272" i="2" s="1"/>
  <c r="L25" i="4"/>
  <c r="K232" i="2"/>
  <c r="K240" i="2" s="1"/>
  <c r="J254" i="2"/>
  <c r="J260" i="2"/>
  <c r="J281" i="2"/>
  <c r="J282" i="2" s="1"/>
  <c r="D270" i="2"/>
  <c r="D273" i="2" s="1"/>
  <c r="D276" i="2" s="1"/>
  <c r="D269" i="2"/>
  <c r="D272" i="2" s="1"/>
  <c r="G306" i="1"/>
  <c r="G31" i="4"/>
  <c r="I270" i="2"/>
  <c r="I273" i="2" s="1"/>
  <c r="I276" i="2" s="1"/>
  <c r="I269" i="2"/>
  <c r="I272" i="2" s="1"/>
  <c r="D31" i="4"/>
  <c r="D306" i="1"/>
  <c r="D307" i="1" s="1"/>
  <c r="D58" i="5"/>
  <c r="I61" i="5"/>
  <c r="G269" i="2"/>
  <c r="G272" i="2" s="1"/>
  <c r="G270" i="2"/>
  <c r="G273" i="2" s="1"/>
  <c r="G276" i="2" s="1"/>
  <c r="I43" i="8"/>
  <c r="E307" i="1" l="1"/>
  <c r="C7" i="5" s="1"/>
  <c r="C8" i="5" s="1"/>
  <c r="D275" i="2"/>
  <c r="D271" i="2"/>
  <c r="J261" i="2"/>
  <c r="J266" i="2"/>
  <c r="J265" i="2" s="1"/>
  <c r="J268" i="2" s="1"/>
  <c r="M149" i="1"/>
  <c r="M166" i="1"/>
  <c r="K205" i="2"/>
  <c r="K213" i="2" s="1"/>
  <c r="K253" i="2" s="1"/>
  <c r="D72" i="5"/>
  <c r="C105" i="5"/>
  <c r="C104" i="5" s="1"/>
  <c r="C111" i="5" s="1"/>
  <c r="D57" i="5"/>
  <c r="D63" i="5" s="1"/>
  <c r="F48" i="8"/>
  <c r="F57" i="8"/>
  <c r="M25" i="4"/>
  <c r="L232" i="2"/>
  <c r="L240" i="2" s="1"/>
  <c r="G275" i="2"/>
  <c r="G271" i="2"/>
  <c r="C271" i="2"/>
  <c r="C275" i="2"/>
  <c r="F307" i="1"/>
  <c r="D7" i="5" s="1"/>
  <c r="D8" i="5" s="1"/>
  <c r="L10" i="2"/>
  <c r="M26" i="2" s="1"/>
  <c r="H307" i="1"/>
  <c r="F7" i="5" s="1"/>
  <c r="F8" i="5" s="1"/>
  <c r="I307" i="1"/>
  <c r="G7" i="5" s="1"/>
  <c r="G8" i="5" s="1"/>
  <c r="I48" i="8"/>
  <c r="I57" i="8"/>
  <c r="I62" i="8" s="1"/>
  <c r="G307" i="1"/>
  <c r="E7" i="5" s="1"/>
  <c r="E8" i="5" s="1"/>
  <c r="K312" i="1"/>
  <c r="K303" i="1" s="1"/>
  <c r="I5" i="5"/>
  <c r="K6" i="4"/>
  <c r="K8" i="4" s="1"/>
  <c r="G48" i="8"/>
  <c r="G57" i="8"/>
  <c r="E271" i="2"/>
  <c r="E275" i="2"/>
  <c r="D24" i="8"/>
  <c r="D34" i="8" s="1"/>
  <c r="D43" i="8"/>
  <c r="H57" i="5"/>
  <c r="H63" i="5" s="1"/>
  <c r="G105" i="5"/>
  <c r="G104" i="5" s="1"/>
  <c r="G111" i="5" s="1"/>
  <c r="H72" i="5"/>
  <c r="I76" i="5"/>
  <c r="I60" i="5"/>
  <c r="J5" i="8"/>
  <c r="I271" i="2"/>
  <c r="I275" i="2"/>
  <c r="F275" i="2"/>
  <c r="F271" i="2"/>
  <c r="E57" i="5"/>
  <c r="E63" i="5" s="1"/>
  <c r="E72" i="5"/>
  <c r="D105" i="5"/>
  <c r="D104" i="5" s="1"/>
  <c r="D111" i="5" s="1"/>
  <c r="C57" i="5"/>
  <c r="C72" i="5"/>
  <c r="B105" i="5"/>
  <c r="F57" i="5"/>
  <c r="F63" i="5" s="1"/>
  <c r="E105" i="5"/>
  <c r="E104" i="5" s="1"/>
  <c r="E111" i="5" s="1"/>
  <c r="F72" i="5"/>
  <c r="J6" i="5"/>
  <c r="L7" i="4"/>
  <c r="E48" i="8"/>
  <c r="E57" i="8"/>
  <c r="J10" i="8" l="1"/>
  <c r="J71" i="8"/>
  <c r="J76" i="8" s="1"/>
  <c r="G62" i="8"/>
  <c r="F62" i="8"/>
  <c r="E62" i="8"/>
  <c r="C88" i="5"/>
  <c r="I75" i="5"/>
  <c r="I91" i="5"/>
  <c r="L8" i="2"/>
  <c r="M24" i="2"/>
  <c r="O100" i="1" s="1"/>
  <c r="C63" i="5"/>
  <c r="K254" i="2"/>
  <c r="K260" i="2"/>
  <c r="K281" i="2"/>
  <c r="K282" i="2" s="1"/>
  <c r="J61" i="5"/>
  <c r="B104" i="5"/>
  <c r="J19" i="8"/>
  <c r="K31" i="4"/>
  <c r="K306" i="1"/>
  <c r="K307" i="1" s="1"/>
  <c r="I7" i="5" s="1"/>
  <c r="I8" i="5" s="1"/>
  <c r="N149" i="1"/>
  <c r="N166" i="1"/>
  <c r="L205" i="2"/>
  <c r="L213" i="2" s="1"/>
  <c r="L253" i="2" s="1"/>
  <c r="D88" i="5"/>
  <c r="D87" i="5" s="1"/>
  <c r="J270" i="2"/>
  <c r="J273" i="2" s="1"/>
  <c r="J276" i="2" s="1"/>
  <c r="J269" i="2"/>
  <c r="J272" i="2" s="1"/>
  <c r="H88" i="5"/>
  <c r="H87" i="5" s="1"/>
  <c r="H71" i="5"/>
  <c r="H78" i="5" s="1"/>
  <c r="D48" i="8"/>
  <c r="D57" i="8"/>
  <c r="I58" i="5"/>
  <c r="F71" i="5"/>
  <c r="F78" i="5" s="1"/>
  <c r="F88" i="5"/>
  <c r="F87" i="5" s="1"/>
  <c r="E88" i="5"/>
  <c r="E87" i="5" s="1"/>
  <c r="E71" i="5"/>
  <c r="E78" i="5" s="1"/>
  <c r="M7" i="4"/>
  <c r="K6" i="5"/>
  <c r="K61" i="5" s="1"/>
  <c r="J29" i="8" l="1"/>
  <c r="J24" i="8"/>
  <c r="J34" i="8" s="1"/>
  <c r="D62" i="8"/>
  <c r="L254" i="2"/>
  <c r="L281" i="2"/>
  <c r="L282" i="2" s="1"/>
  <c r="L260" i="2"/>
  <c r="L5" i="8"/>
  <c r="K76" i="5"/>
  <c r="K60" i="5"/>
  <c r="J43" i="8"/>
  <c r="K261" i="2"/>
  <c r="K266" i="2"/>
  <c r="K265" i="2" s="1"/>
  <c r="K268" i="2" s="1"/>
  <c r="I90" i="5"/>
  <c r="C87" i="5"/>
  <c r="I57" i="5"/>
  <c r="I72" i="5"/>
  <c r="H105" i="5"/>
  <c r="J60" i="5"/>
  <c r="J76" i="5"/>
  <c r="K5" i="8"/>
  <c r="J275" i="2"/>
  <c r="J271" i="2"/>
  <c r="B111" i="5"/>
  <c r="N25" i="4"/>
  <c r="M232" i="2"/>
  <c r="M240" i="2" s="1"/>
  <c r="L312" i="1"/>
  <c r="L303" i="1" s="1"/>
  <c r="J5" i="5"/>
  <c r="L6" i="4"/>
  <c r="L8" i="4" s="1"/>
  <c r="M10" i="2"/>
  <c r="N26" i="2" s="1"/>
  <c r="K10" i="8" l="1"/>
  <c r="K71" i="8"/>
  <c r="K76" i="8" s="1"/>
  <c r="L10" i="8"/>
  <c r="L71" i="8"/>
  <c r="L76" i="8" s="1"/>
  <c r="J58" i="5"/>
  <c r="K269" i="2"/>
  <c r="K272" i="2" s="1"/>
  <c r="K270" i="2"/>
  <c r="K273" i="2" s="1"/>
  <c r="K276" i="2" s="1"/>
  <c r="L261" i="2"/>
  <c r="L266" i="2"/>
  <c r="L265" i="2" s="1"/>
  <c r="L268" i="2" s="1"/>
  <c r="L31" i="4"/>
  <c r="L306" i="1"/>
  <c r="L307" i="1" s="1"/>
  <c r="J7" i="5" s="1"/>
  <c r="H104" i="5"/>
  <c r="K5" i="5"/>
  <c r="M312" i="1"/>
  <c r="M303" i="1" s="1"/>
  <c r="M6" i="4"/>
  <c r="M8" i="4" s="1"/>
  <c r="M8" i="2"/>
  <c r="N24" i="2"/>
  <c r="P100" i="1" s="1"/>
  <c r="I88" i="5"/>
  <c r="I71" i="5"/>
  <c r="I78" i="5" s="1"/>
  <c r="K91" i="5"/>
  <c r="K90" i="5" s="1"/>
  <c r="K75" i="5"/>
  <c r="N7" i="4"/>
  <c r="L6" i="5"/>
  <c r="K19" i="8"/>
  <c r="J48" i="8"/>
  <c r="J57" i="8"/>
  <c r="J62" i="8" s="1"/>
  <c r="J75" i="5"/>
  <c r="J91" i="5"/>
  <c r="O166" i="1"/>
  <c r="O149" i="1"/>
  <c r="M205" i="2"/>
  <c r="M213" i="2" s="1"/>
  <c r="M253" i="2" s="1"/>
  <c r="B112" i="5"/>
  <c r="C112" i="5" s="1"/>
  <c r="D112" i="5" s="1"/>
  <c r="E112" i="5" s="1"/>
  <c r="F112" i="5" s="1"/>
  <c r="G112" i="5" s="1"/>
  <c r="I63" i="5"/>
  <c r="L19" i="8"/>
  <c r="K29" i="8" l="1"/>
  <c r="K24" i="8"/>
  <c r="K34" i="8" s="1"/>
  <c r="L29" i="8"/>
  <c r="L24" i="8"/>
  <c r="L34" i="8" s="1"/>
  <c r="H111" i="5"/>
  <c r="J57" i="5"/>
  <c r="I105" i="5"/>
  <c r="J72" i="5"/>
  <c r="L43" i="8"/>
  <c r="J90" i="5"/>
  <c r="N10" i="2"/>
  <c r="O26" i="2" s="1"/>
  <c r="K58" i="5"/>
  <c r="K275" i="2"/>
  <c r="K271" i="2"/>
  <c r="I87" i="5"/>
  <c r="L270" i="2"/>
  <c r="L273" i="2" s="1"/>
  <c r="L276" i="2" s="1"/>
  <c r="L269" i="2"/>
  <c r="L272" i="2" s="1"/>
  <c r="L61" i="5"/>
  <c r="M254" i="2"/>
  <c r="M281" i="2"/>
  <c r="M282" i="2" s="1"/>
  <c r="M260" i="2"/>
  <c r="K43" i="8"/>
  <c r="O25" i="4"/>
  <c r="N232" i="2"/>
  <c r="N240" i="2" s="1"/>
  <c r="M306" i="1"/>
  <c r="M307" i="1" s="1"/>
  <c r="K7" i="5" s="1"/>
  <c r="K8" i="5" s="1"/>
  <c r="M31" i="4"/>
  <c r="J8" i="5"/>
  <c r="H112" i="5" l="1"/>
  <c r="K57" i="5"/>
  <c r="K63" i="5" s="1"/>
  <c r="K72" i="5"/>
  <c r="J105" i="5"/>
  <c r="J104" i="5" s="1"/>
  <c r="J111" i="5" s="1"/>
  <c r="O7" i="4"/>
  <c r="M6" i="5"/>
  <c r="M61" i="5" s="1"/>
  <c r="M261" i="2"/>
  <c r="M266" i="2"/>
  <c r="M265" i="2" s="1"/>
  <c r="M268" i="2" s="1"/>
  <c r="L48" i="8"/>
  <c r="L57" i="8"/>
  <c r="L62" i="8" s="1"/>
  <c r="J63" i="5"/>
  <c r="K57" i="8"/>
  <c r="K62" i="8" s="1"/>
  <c r="K48" i="8"/>
  <c r="N6" i="4"/>
  <c r="N8" i="4" s="1"/>
  <c r="N312" i="1"/>
  <c r="N303" i="1" s="1"/>
  <c r="L5" i="5"/>
  <c r="M5" i="8"/>
  <c r="L76" i="5"/>
  <c r="L60" i="5"/>
  <c r="I95" i="5"/>
  <c r="N8" i="2"/>
  <c r="O24" i="2"/>
  <c r="Q100" i="1" s="1"/>
  <c r="N205" i="2"/>
  <c r="N213" i="2" s="1"/>
  <c r="N253" i="2" s="1"/>
  <c r="P166" i="1"/>
  <c r="P149" i="1"/>
  <c r="I104" i="5"/>
  <c r="L271" i="2"/>
  <c r="L275" i="2"/>
  <c r="J71" i="5"/>
  <c r="J78" i="5" s="1"/>
  <c r="J88" i="5"/>
  <c r="M10" i="8" l="1"/>
  <c r="M71" i="8"/>
  <c r="M76" i="8" s="1"/>
  <c r="J87" i="5"/>
  <c r="I111" i="5"/>
  <c r="M270" i="2"/>
  <c r="M273" i="2" s="1"/>
  <c r="M276" i="2" s="1"/>
  <c r="M269" i="2"/>
  <c r="M272" i="2" s="1"/>
  <c r="K88" i="5"/>
  <c r="K87" i="5" s="1"/>
  <c r="K95" i="5" s="1"/>
  <c r="K71" i="5"/>
  <c r="K78" i="5" s="1"/>
  <c r="O10" i="2"/>
  <c r="P26" i="2" s="1"/>
  <c r="N254" i="2"/>
  <c r="N281" i="2"/>
  <c r="N282" i="2" s="1"/>
  <c r="N260" i="2"/>
  <c r="N306" i="1"/>
  <c r="N307" i="1" s="1"/>
  <c r="L7" i="5" s="1"/>
  <c r="L8" i="5" s="1"/>
  <c r="N31" i="4"/>
  <c r="L75" i="5"/>
  <c r="L91" i="5"/>
  <c r="M60" i="5"/>
  <c r="N5" i="8"/>
  <c r="M76" i="5"/>
  <c r="P25" i="4"/>
  <c r="O232" i="2"/>
  <c r="O240" i="2" s="1"/>
  <c r="M19" i="8"/>
  <c r="L58" i="5"/>
  <c r="M29" i="8" l="1"/>
  <c r="M24" i="8"/>
  <c r="M34" i="8" s="1"/>
  <c r="N10" i="8"/>
  <c r="N71" i="8"/>
  <c r="N76" i="8" s="1"/>
  <c r="L90" i="5"/>
  <c r="O8" i="2"/>
  <c r="P10" i="2"/>
  <c r="Q26" i="2" s="1"/>
  <c r="P24" i="2"/>
  <c r="R100" i="1" s="1"/>
  <c r="M271" i="2"/>
  <c r="M275" i="2"/>
  <c r="I112" i="5"/>
  <c r="J112" i="5" s="1"/>
  <c r="Q166" i="1"/>
  <c r="Q149" i="1"/>
  <c r="O205" i="2"/>
  <c r="O213" i="2" s="1"/>
  <c r="O253" i="2" s="1"/>
  <c r="N6" i="5"/>
  <c r="N61" i="5" s="1"/>
  <c r="P7" i="4"/>
  <c r="M75" i="5"/>
  <c r="M91" i="5"/>
  <c r="M90" i="5" s="1"/>
  <c r="M5" i="5"/>
  <c r="O6" i="4"/>
  <c r="O8" i="4" s="1"/>
  <c r="O312" i="1"/>
  <c r="O303" i="1" s="1"/>
  <c r="N19" i="8"/>
  <c r="L57" i="5"/>
  <c r="K105" i="5"/>
  <c r="L72" i="5"/>
  <c r="M43" i="8"/>
  <c r="N261" i="2"/>
  <c r="N266" i="2"/>
  <c r="N265" i="2" s="1"/>
  <c r="N268" i="2" s="1"/>
  <c r="J95" i="5"/>
  <c r="N29" i="8" l="1"/>
  <c r="N24" i="8"/>
  <c r="N34" i="8" s="1"/>
  <c r="N43" i="8"/>
  <c r="P8" i="2"/>
  <c r="Q24" i="2"/>
  <c r="S100" i="1" s="1"/>
  <c r="N269" i="2"/>
  <c r="N272" i="2" s="1"/>
  <c r="N270" i="2"/>
  <c r="N273" i="2" s="1"/>
  <c r="N276" i="2" s="1"/>
  <c r="M48" i="8"/>
  <c r="M57" i="8"/>
  <c r="M62" i="8" s="1"/>
  <c r="K104" i="5"/>
  <c r="L63" i="5"/>
  <c r="O254" i="2"/>
  <c r="O260" i="2"/>
  <c r="O281" i="2"/>
  <c r="O282" i="2" s="1"/>
  <c r="P232" i="2"/>
  <c r="P240" i="2" s="1"/>
  <c r="Q25" i="4"/>
  <c r="M58" i="5"/>
  <c r="L71" i="5"/>
  <c r="L78" i="5" s="1"/>
  <c r="L88" i="5"/>
  <c r="N60" i="5"/>
  <c r="N76" i="5"/>
  <c r="O5" i="8"/>
  <c r="O31" i="4"/>
  <c r="O306" i="1"/>
  <c r="O307" i="1" s="1"/>
  <c r="M7" i="5" s="1"/>
  <c r="M8" i="5" s="1"/>
  <c r="O10" i="8" l="1"/>
  <c r="O71" i="8"/>
  <c r="O76" i="8" s="1"/>
  <c r="N91" i="5"/>
  <c r="N90" i="5" s="1"/>
  <c r="N75" i="5"/>
  <c r="L87" i="5"/>
  <c r="P312" i="1"/>
  <c r="P303" i="1" s="1"/>
  <c r="N5" i="5"/>
  <c r="P6" i="4"/>
  <c r="P8" i="4" s="1"/>
  <c r="K111" i="5"/>
  <c r="O261" i="2"/>
  <c r="O266" i="2"/>
  <c r="O265" i="2" s="1"/>
  <c r="O268" i="2" s="1"/>
  <c r="N275" i="2"/>
  <c r="N271" i="2"/>
  <c r="O19" i="8"/>
  <c r="R166" i="1"/>
  <c r="R149" i="1"/>
  <c r="P205" i="2"/>
  <c r="P213" i="2" s="1"/>
  <c r="P253" i="2" s="1"/>
  <c r="Q10" i="2"/>
  <c r="R26" i="2" s="1"/>
  <c r="M57" i="5"/>
  <c r="L105" i="5"/>
  <c r="L104" i="5" s="1"/>
  <c r="L111" i="5" s="1"/>
  <c r="M72" i="5"/>
  <c r="O6" i="5"/>
  <c r="O61" i="5" s="1"/>
  <c r="Q7" i="4"/>
  <c r="Q232" i="2"/>
  <c r="Q240" i="2" s="1"/>
  <c r="R25" i="4"/>
  <c r="N48" i="8"/>
  <c r="N57" i="8"/>
  <c r="N62" i="8" s="1"/>
  <c r="O29" i="8" l="1"/>
  <c r="O24" i="8"/>
  <c r="O34" i="8" s="1"/>
  <c r="R7" i="4"/>
  <c r="P6" i="5"/>
  <c r="P61" i="5" s="1"/>
  <c r="O76" i="5"/>
  <c r="P5" i="8"/>
  <c r="O60" i="5"/>
  <c r="Q8" i="2"/>
  <c r="R24" i="2"/>
  <c r="T100" i="1" s="1"/>
  <c r="M71" i="5"/>
  <c r="M78" i="5" s="1"/>
  <c r="M88" i="5"/>
  <c r="M87" i="5" s="1"/>
  <c r="M95" i="5" s="1"/>
  <c r="P254" i="2"/>
  <c r="P260" i="2"/>
  <c r="P281" i="2"/>
  <c r="P282" i="2" s="1"/>
  <c r="O270" i="2"/>
  <c r="O273" i="2" s="1"/>
  <c r="O276" i="2" s="1"/>
  <c r="O269" i="2"/>
  <c r="O272" i="2" s="1"/>
  <c r="O43" i="8"/>
  <c r="N58" i="5"/>
  <c r="L95" i="5"/>
  <c r="S149" i="1"/>
  <c r="S166" i="1"/>
  <c r="Q205" i="2"/>
  <c r="Q213" i="2" s="1"/>
  <c r="Q253" i="2" s="1"/>
  <c r="M63" i="5"/>
  <c r="P31" i="4"/>
  <c r="P306" i="1"/>
  <c r="P307" i="1" s="1"/>
  <c r="N7" i="5" s="1"/>
  <c r="N8" i="5" s="1"/>
  <c r="K112" i="5"/>
  <c r="L112" i="5" s="1"/>
  <c r="P10" i="8" l="1"/>
  <c r="P71" i="8"/>
  <c r="P76" i="8" s="1"/>
  <c r="O48" i="8"/>
  <c r="O57" i="8"/>
  <c r="O62" i="8" s="1"/>
  <c r="R232" i="2"/>
  <c r="R240" i="2" s="1"/>
  <c r="S25" i="4"/>
  <c r="P19" i="8"/>
  <c r="Q254" i="2"/>
  <c r="Q281" i="2"/>
  <c r="Q282" i="2" s="1"/>
  <c r="Q260" i="2"/>
  <c r="R10" i="2"/>
  <c r="S26" i="2" s="1"/>
  <c r="O75" i="5"/>
  <c r="O91" i="5"/>
  <c r="O90" i="5" s="1"/>
  <c r="N57" i="5"/>
  <c r="N63" i="5" s="1"/>
  <c r="M105" i="5"/>
  <c r="M104" i="5" s="1"/>
  <c r="M111" i="5" s="1"/>
  <c r="M112" i="5" s="1"/>
  <c r="N72" i="5"/>
  <c r="O5" i="5"/>
  <c r="Q6" i="4"/>
  <c r="Q8" i="4" s="1"/>
  <c r="Q312" i="1"/>
  <c r="Q303" i="1" s="1"/>
  <c r="P60" i="5"/>
  <c r="Q5" i="8"/>
  <c r="P76" i="5"/>
  <c r="O271" i="2"/>
  <c r="O275" i="2"/>
  <c r="P266" i="2"/>
  <c r="P265" i="2" s="1"/>
  <c r="P268" i="2" s="1"/>
  <c r="P261" i="2"/>
  <c r="P29" i="8" l="1"/>
  <c r="P24" i="8"/>
  <c r="P34" i="8" s="1"/>
  <c r="Q10" i="8"/>
  <c r="Q71" i="8"/>
  <c r="Q76" i="8" s="1"/>
  <c r="Q31" i="4"/>
  <c r="Q306" i="1"/>
  <c r="Q307" i="1" s="1"/>
  <c r="O7" i="5" s="1"/>
  <c r="O8" i="5" s="1"/>
  <c r="R8" i="2"/>
  <c r="S10" i="2"/>
  <c r="T26" i="2" s="1"/>
  <c r="S24" i="2"/>
  <c r="U100" i="1" s="1"/>
  <c r="P75" i="5"/>
  <c r="P91" i="5"/>
  <c r="P90" i="5" s="1"/>
  <c r="Q266" i="2"/>
  <c r="Q265" i="2" s="1"/>
  <c r="Q268" i="2" s="1"/>
  <c r="Q261" i="2"/>
  <c r="T166" i="1"/>
  <c r="T149" i="1"/>
  <c r="R205" i="2"/>
  <c r="R213" i="2" s="1"/>
  <c r="R253" i="2" s="1"/>
  <c r="P270" i="2"/>
  <c r="P273" i="2" s="1"/>
  <c r="P276" i="2" s="1"/>
  <c r="P269" i="2"/>
  <c r="P272" i="2" s="1"/>
  <c r="Q19" i="8"/>
  <c r="O58" i="5"/>
  <c r="N88" i="5"/>
  <c r="N87" i="5" s="1"/>
  <c r="N71" i="5"/>
  <c r="N78" i="5" s="1"/>
  <c r="R6" i="4"/>
  <c r="R8" i="4" s="1"/>
  <c r="P5" i="5"/>
  <c r="R312" i="1"/>
  <c r="R303" i="1" s="1"/>
  <c r="P43" i="8"/>
  <c r="S7" i="4"/>
  <c r="Q6" i="5"/>
  <c r="Q61" i="5" s="1"/>
  <c r="Q29" i="8" l="1"/>
  <c r="Q24" i="8"/>
  <c r="Q34" i="8" s="1"/>
  <c r="P275" i="2"/>
  <c r="P271" i="2"/>
  <c r="R31" i="4"/>
  <c r="R306" i="1"/>
  <c r="R307" i="1" s="1"/>
  <c r="P7" i="5" s="1"/>
  <c r="P8" i="5" s="1"/>
  <c r="N95" i="5"/>
  <c r="R5" i="8"/>
  <c r="Q76" i="5"/>
  <c r="Q60" i="5"/>
  <c r="P58" i="5"/>
  <c r="R254" i="2"/>
  <c r="R260" i="2"/>
  <c r="R281" i="2"/>
  <c r="R282" i="2" s="1"/>
  <c r="Q270" i="2"/>
  <c r="Q273" i="2" s="1"/>
  <c r="Q276" i="2" s="1"/>
  <c r="Q269" i="2"/>
  <c r="Q272" i="2" s="1"/>
  <c r="T25" i="4"/>
  <c r="S232" i="2"/>
  <c r="S240" i="2" s="1"/>
  <c r="P48" i="8"/>
  <c r="P57" i="8"/>
  <c r="P62" i="8" s="1"/>
  <c r="O57" i="5"/>
  <c r="O63" i="5" s="1"/>
  <c r="N105" i="5"/>
  <c r="N104" i="5" s="1"/>
  <c r="N111" i="5" s="1"/>
  <c r="N112" i="5" s="1"/>
  <c r="O72" i="5"/>
  <c r="Q43" i="8"/>
  <c r="S8" i="2"/>
  <c r="T10" i="2"/>
  <c r="U26" i="2" s="1"/>
  <c r="T24" i="2"/>
  <c r="V100" i="1" s="1"/>
  <c r="R10" i="8" l="1"/>
  <c r="R71" i="8"/>
  <c r="R76" i="8" s="1"/>
  <c r="T8" i="2"/>
  <c r="U24" i="2"/>
  <c r="W100" i="1" s="1"/>
  <c r="U149" i="1"/>
  <c r="U166" i="1"/>
  <c r="S205" i="2"/>
  <c r="S213" i="2" s="1"/>
  <c r="S253" i="2" s="1"/>
  <c r="Q75" i="5"/>
  <c r="Q91" i="5"/>
  <c r="Q90" i="5" s="1"/>
  <c r="O71" i="5"/>
  <c r="O78" i="5" s="1"/>
  <c r="O88" i="5"/>
  <c r="O87" i="5" s="1"/>
  <c r="O95" i="5" s="1"/>
  <c r="S6" i="4"/>
  <c r="S8" i="4" s="1"/>
  <c r="S312" i="1"/>
  <c r="S303" i="1" s="1"/>
  <c r="Q5" i="5"/>
  <c r="O105" i="5"/>
  <c r="O104" i="5" s="1"/>
  <c r="O111" i="5" s="1"/>
  <c r="O112" i="5" s="1"/>
  <c r="P57" i="5"/>
  <c r="P63" i="5" s="1"/>
  <c r="P72" i="5"/>
  <c r="R19" i="8"/>
  <c r="R261" i="2"/>
  <c r="R266" i="2"/>
  <c r="R265" i="2" s="1"/>
  <c r="R268" i="2" s="1"/>
  <c r="U25" i="4"/>
  <c r="T232" i="2"/>
  <c r="T240" i="2" s="1"/>
  <c r="Q57" i="8"/>
  <c r="Q62" i="8" s="1"/>
  <c r="Q48" i="8"/>
  <c r="T7" i="4"/>
  <c r="R6" i="5"/>
  <c r="R61" i="5" s="1"/>
  <c r="Q275" i="2"/>
  <c r="Q271" i="2"/>
  <c r="R29" i="8" l="1"/>
  <c r="R24" i="8"/>
  <c r="R34" i="8" s="1"/>
  <c r="R60" i="5"/>
  <c r="R76" i="5"/>
  <c r="S5" i="8"/>
  <c r="U7" i="4"/>
  <c r="S6" i="5"/>
  <c r="S61" i="5" s="1"/>
  <c r="R270" i="2"/>
  <c r="R273" i="2" s="1"/>
  <c r="R276" i="2" s="1"/>
  <c r="R269" i="2"/>
  <c r="R272" i="2" s="1"/>
  <c r="R43" i="8"/>
  <c r="V25" i="4"/>
  <c r="U232" i="2"/>
  <c r="U240" i="2" s="1"/>
  <c r="Q58" i="5"/>
  <c r="S254" i="2"/>
  <c r="S260" i="2"/>
  <c r="S281" i="2"/>
  <c r="S282" i="2" s="1"/>
  <c r="U10" i="2"/>
  <c r="V26" i="2" s="1"/>
  <c r="V149" i="1"/>
  <c r="V166" i="1"/>
  <c r="T205" i="2"/>
  <c r="T213" i="2" s="1"/>
  <c r="T253" i="2" s="1"/>
  <c r="P71" i="5"/>
  <c r="P78" i="5" s="1"/>
  <c r="P88" i="5"/>
  <c r="P87" i="5" s="1"/>
  <c r="P95" i="5" s="1"/>
  <c r="S31" i="4"/>
  <c r="S306" i="1"/>
  <c r="S307" i="1" s="1"/>
  <c r="Q7" i="5" s="1"/>
  <c r="Q8" i="5" s="1"/>
  <c r="S10" i="8" l="1"/>
  <c r="S71" i="8"/>
  <c r="S76" i="8" s="1"/>
  <c r="S266" i="2"/>
  <c r="S265" i="2" s="1"/>
  <c r="S268" i="2" s="1"/>
  <c r="S261" i="2"/>
  <c r="R275" i="2"/>
  <c r="R271" i="2"/>
  <c r="S19" i="8"/>
  <c r="R75" i="5"/>
  <c r="R91" i="5"/>
  <c r="R90" i="5" s="1"/>
  <c r="U8" i="2"/>
  <c r="V24" i="2"/>
  <c r="X100" i="1" s="1"/>
  <c r="T6" i="5"/>
  <c r="T61" i="5" s="1"/>
  <c r="V7" i="4"/>
  <c r="S60" i="5"/>
  <c r="S76" i="5"/>
  <c r="T5" i="8"/>
  <c r="T254" i="2"/>
  <c r="T281" i="2"/>
  <c r="T282" i="2" s="1"/>
  <c r="T260" i="2"/>
  <c r="T312" i="1"/>
  <c r="T303" i="1" s="1"/>
  <c r="T6" i="4"/>
  <c r="T8" i="4" s="1"/>
  <c r="R5" i="5"/>
  <c r="Q57" i="5"/>
  <c r="Q63" i="5" s="1"/>
  <c r="Q72" i="5"/>
  <c r="P105" i="5"/>
  <c r="P104" i="5" s="1"/>
  <c r="P111" i="5" s="1"/>
  <c r="P112" i="5" s="1"/>
  <c r="W166" i="1"/>
  <c r="W149" i="1"/>
  <c r="U205" i="2"/>
  <c r="U213" i="2" s="1"/>
  <c r="U253" i="2" s="1"/>
  <c r="R48" i="8"/>
  <c r="R57" i="8"/>
  <c r="R62" i="8" s="1"/>
  <c r="S29" i="8" l="1"/>
  <c r="S24" i="8"/>
  <c r="S34" i="8" s="1"/>
  <c r="T10" i="8"/>
  <c r="T71" i="8"/>
  <c r="T76" i="8" s="1"/>
  <c r="R58" i="5"/>
  <c r="S5" i="5"/>
  <c r="U312" i="1"/>
  <c r="U303" i="1" s="1"/>
  <c r="U6" i="4"/>
  <c r="U8" i="4" s="1"/>
  <c r="S75" i="5"/>
  <c r="S91" i="5"/>
  <c r="S90" i="5" s="1"/>
  <c r="W25" i="4"/>
  <c r="V232" i="2"/>
  <c r="V240" i="2" s="1"/>
  <c r="V10" i="2"/>
  <c r="W26" i="2" s="1"/>
  <c r="U254" i="2"/>
  <c r="U260" i="2"/>
  <c r="U281" i="2"/>
  <c r="U282" i="2" s="1"/>
  <c r="Q88" i="5"/>
  <c r="Q87" i="5" s="1"/>
  <c r="Q95" i="5" s="1"/>
  <c r="Q71" i="5"/>
  <c r="Q78" i="5" s="1"/>
  <c r="T306" i="1"/>
  <c r="T307" i="1" s="1"/>
  <c r="R7" i="5" s="1"/>
  <c r="R8" i="5" s="1"/>
  <c r="T31" i="4"/>
  <c r="S43" i="8"/>
  <c r="S269" i="2"/>
  <c r="S272" i="2" s="1"/>
  <c r="S270" i="2"/>
  <c r="S273" i="2" s="1"/>
  <c r="S276" i="2" s="1"/>
  <c r="T261" i="2"/>
  <c r="T266" i="2"/>
  <c r="T265" i="2" s="1"/>
  <c r="T268" i="2" s="1"/>
  <c r="T19" i="8"/>
  <c r="T60" i="5"/>
  <c r="U5" i="8"/>
  <c r="T76" i="5"/>
  <c r="T29" i="8" l="1"/>
  <c r="T24" i="8"/>
  <c r="T34" i="8" s="1"/>
  <c r="U10" i="8"/>
  <c r="U71" i="8"/>
  <c r="U76" i="8" s="1"/>
  <c r="W7" i="4"/>
  <c r="U6" i="5"/>
  <c r="U61" i="5" s="1"/>
  <c r="S58" i="5"/>
  <c r="V312" i="1"/>
  <c r="V303" i="1" s="1"/>
  <c r="V6" i="4"/>
  <c r="V8" i="4" s="1"/>
  <c r="T5" i="5"/>
  <c r="V8" i="2"/>
  <c r="W24" i="2"/>
  <c r="Y100" i="1" s="1"/>
  <c r="T75" i="5"/>
  <c r="T91" i="5"/>
  <c r="T90" i="5" s="1"/>
  <c r="S275" i="2"/>
  <c r="S271" i="2"/>
  <c r="U261" i="2"/>
  <c r="U266" i="2"/>
  <c r="U265" i="2" s="1"/>
  <c r="U268" i="2" s="1"/>
  <c r="X149" i="1"/>
  <c r="X166" i="1"/>
  <c r="V205" i="2"/>
  <c r="V213" i="2" s="1"/>
  <c r="V253" i="2" s="1"/>
  <c r="Q105" i="5"/>
  <c r="Q104" i="5" s="1"/>
  <c r="Q111" i="5" s="1"/>
  <c r="Q112" i="5" s="1"/>
  <c r="R57" i="5"/>
  <c r="R63" i="5" s="1"/>
  <c r="R72" i="5"/>
  <c r="U19" i="8"/>
  <c r="T270" i="2"/>
  <c r="T273" i="2" s="1"/>
  <c r="T276" i="2" s="1"/>
  <c r="T269" i="2"/>
  <c r="T272" i="2" s="1"/>
  <c r="S48" i="8"/>
  <c r="S57" i="8"/>
  <c r="S62" i="8" s="1"/>
  <c r="U31" i="4"/>
  <c r="U306" i="1"/>
  <c r="U307" i="1" s="1"/>
  <c r="S7" i="5" s="1"/>
  <c r="S8" i="5" s="1"/>
  <c r="T43" i="8"/>
  <c r="U29" i="8" l="1"/>
  <c r="U24" i="8"/>
  <c r="U34" i="8" s="1"/>
  <c r="S57" i="5"/>
  <c r="S63" i="5" s="1"/>
  <c r="S72" i="5"/>
  <c r="R105" i="5"/>
  <c r="R104" i="5" s="1"/>
  <c r="R111" i="5" s="1"/>
  <c r="R112" i="5" s="1"/>
  <c r="T57" i="8"/>
  <c r="T62" i="8" s="1"/>
  <c r="T48" i="8"/>
  <c r="U269" i="2"/>
  <c r="U272" i="2" s="1"/>
  <c r="U270" i="2"/>
  <c r="U273" i="2" s="1"/>
  <c r="U276" i="2" s="1"/>
  <c r="W10" i="2"/>
  <c r="X26" i="2" s="1"/>
  <c r="V31" i="4"/>
  <c r="V306" i="1"/>
  <c r="V307" i="1" s="1"/>
  <c r="T7" i="5" s="1"/>
  <c r="T8" i="5" s="1"/>
  <c r="U60" i="5"/>
  <c r="V5" i="8"/>
  <c r="U76" i="5"/>
  <c r="T58" i="5"/>
  <c r="U43" i="8"/>
  <c r="X25" i="4"/>
  <c r="W232" i="2"/>
  <c r="W240" i="2" s="1"/>
  <c r="T275" i="2"/>
  <c r="T271" i="2"/>
  <c r="R88" i="5"/>
  <c r="R87" i="5" s="1"/>
  <c r="R95" i="5" s="1"/>
  <c r="R71" i="5"/>
  <c r="R78" i="5" s="1"/>
  <c r="V254" i="2"/>
  <c r="V260" i="2"/>
  <c r="V281" i="2"/>
  <c r="V282" i="2" s="1"/>
  <c r="V10" i="8" l="1"/>
  <c r="V71" i="8"/>
  <c r="V76" i="8" s="1"/>
  <c r="W312" i="1"/>
  <c r="W303" i="1" s="1"/>
  <c r="U5" i="5"/>
  <c r="W6" i="4"/>
  <c r="W8" i="4" s="1"/>
  <c r="Y149" i="1"/>
  <c r="Y166" i="1"/>
  <c r="W205" i="2"/>
  <c r="W213" i="2" s="1"/>
  <c r="W253" i="2" s="1"/>
  <c r="U57" i="8"/>
  <c r="U62" i="8" s="1"/>
  <c r="U48" i="8"/>
  <c r="U271" i="2"/>
  <c r="U275" i="2"/>
  <c r="V261" i="2"/>
  <c r="V266" i="2"/>
  <c r="V265" i="2" s="1"/>
  <c r="V268" i="2" s="1"/>
  <c r="V6" i="5"/>
  <c r="V61" i="5" s="1"/>
  <c r="X7" i="4"/>
  <c r="U75" i="5"/>
  <c r="U91" i="5"/>
  <c r="U90" i="5" s="1"/>
  <c r="T57" i="5"/>
  <c r="T63" i="5" s="1"/>
  <c r="S105" i="5"/>
  <c r="S104" i="5" s="1"/>
  <c r="S111" i="5" s="1"/>
  <c r="S112" i="5" s="1"/>
  <c r="T72" i="5"/>
  <c r="V19" i="8"/>
  <c r="W8" i="2"/>
  <c r="X24" i="2"/>
  <c r="Z100" i="1" s="1"/>
  <c r="S71" i="5"/>
  <c r="S78" i="5" s="1"/>
  <c r="S88" i="5"/>
  <c r="S87" i="5" s="1"/>
  <c r="S95" i="5" s="1"/>
  <c r="V29" i="8" l="1"/>
  <c r="V24" i="8"/>
  <c r="V34" i="8" s="1"/>
  <c r="V43" i="8"/>
  <c r="Y25" i="4"/>
  <c r="X232" i="2"/>
  <c r="X240" i="2" s="1"/>
  <c r="W254" i="2"/>
  <c r="W281" i="2"/>
  <c r="W282" i="2" s="1"/>
  <c r="W260" i="2"/>
  <c r="U58" i="5"/>
  <c r="X10" i="2"/>
  <c r="Y26" i="2" s="1"/>
  <c r="T71" i="5"/>
  <c r="T78" i="5" s="1"/>
  <c r="T88" i="5"/>
  <c r="T87" i="5" s="1"/>
  <c r="T95" i="5" s="1"/>
  <c r="V60" i="5"/>
  <c r="V76" i="5"/>
  <c r="W5" i="8"/>
  <c r="W31" i="4"/>
  <c r="W306" i="1"/>
  <c r="W307" i="1" s="1"/>
  <c r="U7" i="5" s="1"/>
  <c r="U8" i="5" s="1"/>
  <c r="V270" i="2"/>
  <c r="V273" i="2" s="1"/>
  <c r="V276" i="2" s="1"/>
  <c r="V269" i="2"/>
  <c r="V272" i="2" s="1"/>
  <c r="W10" i="8" l="1"/>
  <c r="W71" i="8"/>
  <c r="W76" i="8" s="1"/>
  <c r="V275" i="2"/>
  <c r="V271" i="2"/>
  <c r="X8" i="2"/>
  <c r="Y24" i="2"/>
  <c r="AA100" i="1" s="1"/>
  <c r="W261" i="2"/>
  <c r="W266" i="2"/>
  <c r="W265" i="2" s="1"/>
  <c r="W268" i="2" s="1"/>
  <c r="U72" i="5"/>
  <c r="U57" i="5"/>
  <c r="U63" i="5" s="1"/>
  <c r="T105" i="5"/>
  <c r="T104" i="5" s="1"/>
  <c r="T111" i="5" s="1"/>
  <c r="T112" i="5" s="1"/>
  <c r="X312" i="1"/>
  <c r="X303" i="1" s="1"/>
  <c r="V5" i="5"/>
  <c r="X6" i="4"/>
  <c r="X8" i="4" s="1"/>
  <c r="Y7" i="4"/>
  <c r="W6" i="5"/>
  <c r="W61" i="5" s="1"/>
  <c r="V57" i="8"/>
  <c r="V62" i="8" s="1"/>
  <c r="V48" i="8"/>
  <c r="W19" i="8"/>
  <c r="Z149" i="1"/>
  <c r="Z166" i="1"/>
  <c r="X205" i="2"/>
  <c r="X213" i="2" s="1"/>
  <c r="X253" i="2" s="1"/>
  <c r="V75" i="5"/>
  <c r="V91" i="5"/>
  <c r="V90" i="5" s="1"/>
  <c r="W29" i="8" l="1"/>
  <c r="W24" i="8"/>
  <c r="W34" i="8" s="1"/>
  <c r="W269" i="2"/>
  <c r="W272" i="2" s="1"/>
  <c r="W270" i="2"/>
  <c r="W273" i="2" s="1"/>
  <c r="W276" i="2" s="1"/>
  <c r="X254" i="2"/>
  <c r="X281" i="2"/>
  <c r="X282" i="2" s="1"/>
  <c r="X260" i="2"/>
  <c r="W43" i="8"/>
  <c r="Y232" i="2"/>
  <c r="Y240" i="2" s="1"/>
  <c r="Z25" i="4"/>
  <c r="V58" i="5"/>
  <c r="U88" i="5"/>
  <c r="U87" i="5" s="1"/>
  <c r="U95" i="5" s="1"/>
  <c r="U71" i="5"/>
  <c r="U78" i="5" s="1"/>
  <c r="Y10" i="2"/>
  <c r="Z26" i="2" s="1"/>
  <c r="X5" i="8"/>
  <c r="W76" i="5"/>
  <c r="W60" i="5"/>
  <c r="X31" i="4"/>
  <c r="X306" i="1"/>
  <c r="X307" i="1" s="1"/>
  <c r="V7" i="5" s="1"/>
  <c r="V8" i="5" s="1"/>
  <c r="X10" i="8" l="1"/>
  <c r="X71" i="8"/>
  <c r="X76" i="8" s="1"/>
  <c r="Y8" i="2"/>
  <c r="Z24" i="2"/>
  <c r="AA166" i="1"/>
  <c r="AA149" i="1"/>
  <c r="Y205" i="2"/>
  <c r="Y213" i="2" s="1"/>
  <c r="Y253" i="2" s="1"/>
  <c r="X261" i="2"/>
  <c r="X266" i="2"/>
  <c r="X265" i="2" s="1"/>
  <c r="X268" i="2" s="1"/>
  <c r="W75" i="5"/>
  <c r="W91" i="5"/>
  <c r="W90" i="5" s="1"/>
  <c r="W5" i="5"/>
  <c r="Y6" i="4"/>
  <c r="Y8" i="4" s="1"/>
  <c r="Y312" i="1"/>
  <c r="Y303" i="1" s="1"/>
  <c r="W275" i="2"/>
  <c r="W271" i="2"/>
  <c r="X19" i="8"/>
  <c r="Z7" i="4"/>
  <c r="X6" i="5"/>
  <c r="X61" i="5" s="1"/>
  <c r="W48" i="8"/>
  <c r="W57" i="8"/>
  <c r="W62" i="8" s="1"/>
  <c r="U105" i="5"/>
  <c r="U104" i="5" s="1"/>
  <c r="U111" i="5" s="1"/>
  <c r="U112" i="5" s="1"/>
  <c r="V57" i="5"/>
  <c r="V63" i="5" s="1"/>
  <c r="V72" i="5"/>
  <c r="X29" i="8" l="1"/>
  <c r="X24" i="8"/>
  <c r="X34" i="8" s="1"/>
  <c r="X60" i="5"/>
  <c r="X76" i="5"/>
  <c r="Y5" i="8"/>
  <c r="W58" i="5"/>
  <c r="X269" i="2"/>
  <c r="X272" i="2" s="1"/>
  <c r="X270" i="2"/>
  <c r="X273" i="2" s="1"/>
  <c r="X276" i="2" s="1"/>
  <c r="V71" i="5"/>
  <c r="V78" i="5" s="1"/>
  <c r="V88" i="5"/>
  <c r="V87" i="5" s="1"/>
  <c r="V95" i="5" s="1"/>
  <c r="Y31" i="4"/>
  <c r="Y306" i="1"/>
  <c r="Y307" i="1" s="1"/>
  <c r="W7" i="5" s="1"/>
  <c r="W8" i="5" s="1"/>
  <c r="Y254" i="2"/>
  <c r="Y260" i="2"/>
  <c r="Y281" i="2"/>
  <c r="Y282" i="2" s="1"/>
  <c r="Z10" i="2"/>
  <c r="AA26" i="2" s="1"/>
  <c r="AA24" i="2" s="1"/>
  <c r="X43" i="8"/>
  <c r="Y10" i="8" l="1"/>
  <c r="Y71" i="8"/>
  <c r="Y76" i="8" s="1"/>
  <c r="Y266" i="2"/>
  <c r="Y265" i="2" s="1"/>
  <c r="Y268" i="2" s="1"/>
  <c r="Y261" i="2"/>
  <c r="X275" i="2"/>
  <c r="X271" i="2"/>
  <c r="X91" i="5"/>
  <c r="X90" i="5" s="1"/>
  <c r="X75" i="5"/>
  <c r="V105" i="5"/>
  <c r="V104" i="5" s="1"/>
  <c r="V111" i="5" s="1"/>
  <c r="V112" i="5" s="1"/>
  <c r="W72" i="5"/>
  <c r="W57" i="5"/>
  <c r="W63" i="5" s="1"/>
  <c r="Z8" i="2"/>
  <c r="AA10" i="2"/>
  <c r="AB26" i="2" s="1"/>
  <c r="AB24" i="2" s="1"/>
  <c r="Z312" i="1"/>
  <c r="Z303" i="1" s="1"/>
  <c r="Z6" i="4"/>
  <c r="Z8" i="4" s="1"/>
  <c r="X5" i="5"/>
  <c r="Y19" i="8"/>
  <c r="X57" i="8"/>
  <c r="X62" i="8" s="1"/>
  <c r="X48" i="8"/>
  <c r="Y29" i="8" l="1"/>
  <c r="Y24" i="8"/>
  <c r="Y34" i="8" s="1"/>
  <c r="Z31" i="4"/>
  <c r="Z306" i="1"/>
  <c r="Z307" i="1" s="1"/>
  <c r="X7" i="5" s="1"/>
  <c r="X8" i="5" s="1"/>
  <c r="X58" i="5"/>
  <c r="Y43" i="8"/>
  <c r="W88" i="5"/>
  <c r="W87" i="5" s="1"/>
  <c r="W95" i="5" s="1"/>
  <c r="W71" i="5"/>
  <c r="W78" i="5" s="1"/>
  <c r="AA8" i="2"/>
  <c r="AB10" i="2"/>
  <c r="AC26" i="2" s="1"/>
  <c r="AC24" i="2" s="1"/>
  <c r="Y269" i="2"/>
  <c r="Y272" i="2" s="1"/>
  <c r="Y270" i="2"/>
  <c r="Y273" i="2" s="1"/>
  <c r="Y276" i="2" s="1"/>
  <c r="Y271" i="2" l="1"/>
  <c r="Y275" i="2"/>
  <c r="AC10" i="2"/>
  <c r="AD26" i="2" s="1"/>
  <c r="AD24" i="2" s="1"/>
  <c r="AB8" i="2"/>
  <c r="Y48" i="8"/>
  <c r="Y57" i="8"/>
  <c r="Y62" i="8" s="1"/>
  <c r="X57" i="5"/>
  <c r="X63" i="5" s="1"/>
  <c r="X72" i="5"/>
  <c r="W105" i="5"/>
  <c r="W104" i="5" s="1"/>
  <c r="W111" i="5" s="1"/>
  <c r="W112" i="5" s="1"/>
  <c r="AC8" i="2" l="1"/>
  <c r="AD10" i="2"/>
  <c r="AE26" i="2" s="1"/>
  <c r="AE24" i="2" s="1"/>
  <c r="X88" i="5"/>
  <c r="X87" i="5" s="1"/>
  <c r="X95" i="5" s="1"/>
  <c r="X71" i="5"/>
  <c r="X78" i="5" s="1"/>
  <c r="AD8" i="2" l="1"/>
  <c r="AE10" i="2"/>
  <c r="AF26" i="2" s="1"/>
  <c r="AF24" i="2" s="1"/>
  <c r="AE8" i="2" l="1"/>
  <c r="AF10" i="2"/>
  <c r="AG26" i="2" s="1"/>
  <c r="AG24" i="2" s="1"/>
  <c r="AG10" i="2" l="1"/>
  <c r="AG8" i="2" s="1"/>
  <c r="AF8" i="2"/>
  <c r="Z18" i="2" l="1"/>
  <c r="Z32" i="2"/>
  <c r="Z232" i="2" l="1"/>
  <c r="Z240" i="2" s="1"/>
  <c r="Y6" i="5" s="1"/>
  <c r="AB100" i="1"/>
  <c r="Z16" i="2"/>
  <c r="AA34" i="2"/>
  <c r="AA32" i="2" s="1"/>
  <c r="AC100" i="1" s="1"/>
  <c r="AA25" i="4"/>
  <c r="AA18" i="2" l="1"/>
  <c r="AB34" i="2" s="1"/>
  <c r="AB32" i="2" s="1"/>
  <c r="AD100" i="1" s="1"/>
  <c r="AA7" i="4"/>
  <c r="AB25" i="4"/>
  <c r="AA232" i="2"/>
  <c r="AA240" i="2" s="1"/>
  <c r="AA16" i="2"/>
  <c r="AC25" i="4"/>
  <c r="AB232" i="2"/>
  <c r="AB240" i="2" s="1"/>
  <c r="AB18" i="2"/>
  <c r="Y61" i="5"/>
  <c r="AB166" i="1"/>
  <c r="AB149" i="1"/>
  <c r="Z205" i="2"/>
  <c r="Z213" i="2" s="1"/>
  <c r="Z253" i="2" s="1"/>
  <c r="Z6" i="5" l="1"/>
  <c r="Z61" i="5" s="1"/>
  <c r="AB7" i="4"/>
  <c r="AC166" i="1"/>
  <c r="AA205" i="2"/>
  <c r="AA213" i="2" s="1"/>
  <c r="AA253" i="2" s="1"/>
  <c r="AC149" i="1"/>
  <c r="AC34" i="2"/>
  <c r="AC32" i="2" s="1"/>
  <c r="AE100" i="1" s="1"/>
  <c r="AB16" i="2"/>
  <c r="AA6" i="5"/>
  <c r="AC7" i="4"/>
  <c r="AB205" i="2"/>
  <c r="AB213" i="2" s="1"/>
  <c r="AB253" i="2" s="1"/>
  <c r="AD166" i="1"/>
  <c r="AD149" i="1"/>
  <c r="Z254" i="2"/>
  <c r="Z260" i="2"/>
  <c r="Z281" i="2"/>
  <c r="Z282" i="2" s="1"/>
  <c r="Y60" i="5"/>
  <c r="Y76" i="5"/>
  <c r="Z5" i="8"/>
  <c r="Z10" i="8" l="1"/>
  <c r="Z71" i="8"/>
  <c r="Z76" i="8" s="1"/>
  <c r="AA5" i="8"/>
  <c r="Z60" i="5"/>
  <c r="Z76" i="5"/>
  <c r="AA254" i="2"/>
  <c r="AA281" i="2"/>
  <c r="AA282" i="2" s="1"/>
  <c r="AA260" i="2"/>
  <c r="AB281" i="2"/>
  <c r="AB282" i="2" s="1"/>
  <c r="AB260" i="2"/>
  <c r="AB254" i="2"/>
  <c r="AC18" i="2"/>
  <c r="AA61" i="5"/>
  <c r="AD25" i="4"/>
  <c r="AC232" i="2"/>
  <c r="AC240" i="2" s="1"/>
  <c r="Y5" i="5"/>
  <c r="AA6" i="4"/>
  <c r="AA8" i="4" s="1"/>
  <c r="AA312" i="1"/>
  <c r="AA303" i="1" s="1"/>
  <c r="Z261" i="2"/>
  <c r="Z266" i="2"/>
  <c r="Z265" i="2" s="1"/>
  <c r="Z268" i="2" s="1"/>
  <c r="Y91" i="5"/>
  <c r="Y75" i="5"/>
  <c r="Z19" i="8"/>
  <c r="Z29" i="8" l="1"/>
  <c r="Z24" i="8"/>
  <c r="Z34" i="8" s="1"/>
  <c r="AA10" i="8"/>
  <c r="AA71" i="8"/>
  <c r="AA76" i="8" s="1"/>
  <c r="Z91" i="5"/>
  <c r="Z90" i="5" s="1"/>
  <c r="Z75" i="5"/>
  <c r="AA266" i="2"/>
  <c r="AA265" i="2" s="1"/>
  <c r="AA268" i="2" s="1"/>
  <c r="AA261" i="2"/>
  <c r="AB6" i="4"/>
  <c r="AB8" i="4" s="1"/>
  <c r="AB312" i="1"/>
  <c r="AB303" i="1" s="1"/>
  <c r="AB306" i="1" s="1"/>
  <c r="Z5" i="5"/>
  <c r="Z58" i="5" s="1"/>
  <c r="AA19" i="8"/>
  <c r="AD34" i="2"/>
  <c r="AD32" i="2" s="1"/>
  <c r="AF100" i="1" s="1"/>
  <c r="AC16" i="2"/>
  <c r="AD7" i="4"/>
  <c r="AB6" i="5"/>
  <c r="AB266" i="2"/>
  <c r="AB265" i="2" s="1"/>
  <c r="AB268" i="2" s="1"/>
  <c r="AB261" i="2"/>
  <c r="AE149" i="1"/>
  <c r="AE166" i="1"/>
  <c r="AC205" i="2"/>
  <c r="AC213" i="2" s="1"/>
  <c r="AC253" i="2" s="1"/>
  <c r="AA60" i="5"/>
  <c r="AB5" i="8"/>
  <c r="AA76" i="5"/>
  <c r="AC312" i="1"/>
  <c r="AC303" i="1" s="1"/>
  <c r="AC6" i="4"/>
  <c r="AC8" i="4" s="1"/>
  <c r="AA5" i="5"/>
  <c r="AA58" i="5" s="1"/>
  <c r="AA31" i="4"/>
  <c r="AA306" i="1"/>
  <c r="Z43" i="8"/>
  <c r="Y90" i="5"/>
  <c r="Z270" i="2"/>
  <c r="Z273" i="2" s="1"/>
  <c r="Z276" i="2" s="1"/>
  <c r="Z269" i="2"/>
  <c r="Z272" i="2" s="1"/>
  <c r="Y58" i="5"/>
  <c r="AA29" i="8" l="1"/>
  <c r="AA24" i="8"/>
  <c r="AB10" i="8"/>
  <c r="AB71" i="8"/>
  <c r="AB76" i="8" s="1"/>
  <c r="AD18" i="2"/>
  <c r="AA34" i="8"/>
  <c r="AB31" i="4"/>
  <c r="AA43" i="8"/>
  <c r="Z57" i="5"/>
  <c r="Z63" i="5" s="1"/>
  <c r="Y105" i="5"/>
  <c r="Y104" i="5" s="1"/>
  <c r="Y111" i="5" s="1"/>
  <c r="Z72" i="5"/>
  <c r="AA269" i="2"/>
  <c r="AA272" i="2" s="1"/>
  <c r="AA270" i="2"/>
  <c r="AA273" i="2" s="1"/>
  <c r="AA276" i="2" s="1"/>
  <c r="AA72" i="5"/>
  <c r="AA57" i="5"/>
  <c r="AA63" i="5" s="1"/>
  <c r="Z105" i="5"/>
  <c r="Z104" i="5" s="1"/>
  <c r="Z111" i="5" s="1"/>
  <c r="AA75" i="5"/>
  <c r="AA91" i="5"/>
  <c r="AB270" i="2"/>
  <c r="AB273" i="2" s="1"/>
  <c r="AB276" i="2" s="1"/>
  <c r="AB269" i="2"/>
  <c r="AB272" i="2" s="1"/>
  <c r="AE34" i="2"/>
  <c r="AE32" i="2" s="1"/>
  <c r="AG100" i="1" s="1"/>
  <c r="AD16" i="2"/>
  <c r="AC306" i="1"/>
  <c r="AC307" i="1" s="1"/>
  <c r="AA7" i="5" s="1"/>
  <c r="AA8" i="5" s="1"/>
  <c r="AC31" i="4"/>
  <c r="AB19" i="8"/>
  <c r="AC281" i="2"/>
  <c r="AC282" i="2" s="1"/>
  <c r="AC254" i="2"/>
  <c r="AC260" i="2"/>
  <c r="AB61" i="5"/>
  <c r="AD232" i="2"/>
  <c r="AD240" i="2" s="1"/>
  <c r="AE25" i="4"/>
  <c r="Z275" i="2"/>
  <c r="Z271" i="2"/>
  <c r="Y72" i="5"/>
  <c r="Y57" i="5"/>
  <c r="X105" i="5"/>
  <c r="AB307" i="1"/>
  <c r="Z7" i="5" s="1"/>
  <c r="Z8" i="5" s="1"/>
  <c r="AA307" i="1"/>
  <c r="Y7" i="5" s="1"/>
  <c r="Z57" i="8"/>
  <c r="Z62" i="8" s="1"/>
  <c r="Z48" i="8"/>
  <c r="AB29" i="8" l="1"/>
  <c r="AB24" i="8"/>
  <c r="AB34" i="8" s="1"/>
  <c r="AA275" i="2"/>
  <c r="AA271" i="2"/>
  <c r="AE18" i="2"/>
  <c r="AE16" i="2" s="1"/>
  <c r="Z71" i="5"/>
  <c r="Z78" i="5" s="1"/>
  <c r="Z88" i="5"/>
  <c r="Z87" i="5" s="1"/>
  <c r="Z95" i="5" s="1"/>
  <c r="AA57" i="8"/>
  <c r="AA62" i="8" s="1"/>
  <c r="AA48" i="8"/>
  <c r="AC5" i="8"/>
  <c r="AB76" i="5"/>
  <c r="AB60" i="5"/>
  <c r="AF34" i="2"/>
  <c r="AF32" i="2" s="1"/>
  <c r="AH100" i="1" s="1"/>
  <c r="AC6" i="5"/>
  <c r="AE7" i="4"/>
  <c r="AB43" i="8"/>
  <c r="AF25" i="4"/>
  <c r="AE232" i="2"/>
  <c r="AE240" i="2" s="1"/>
  <c r="AF166" i="1"/>
  <c r="AD205" i="2"/>
  <c r="AD213" i="2" s="1"/>
  <c r="AD253" i="2" s="1"/>
  <c r="AF149" i="1"/>
  <c r="AC266" i="2"/>
  <c r="AC265" i="2" s="1"/>
  <c r="AC268" i="2" s="1"/>
  <c r="AC261" i="2"/>
  <c r="AD312" i="1"/>
  <c r="AD303" i="1" s="1"/>
  <c r="AD6" i="4"/>
  <c r="AD8" i="4" s="1"/>
  <c r="AB5" i="5"/>
  <c r="AB271" i="2"/>
  <c r="AB275" i="2"/>
  <c r="AA90" i="5"/>
  <c r="AA71" i="5"/>
  <c r="AA78" i="5" s="1"/>
  <c r="AA88" i="5"/>
  <c r="AA87" i="5" s="1"/>
  <c r="Y8" i="5"/>
  <c r="Y63" i="5"/>
  <c r="Y71" i="5"/>
  <c r="Y78" i="5" s="1"/>
  <c r="Y88" i="5"/>
  <c r="X104" i="5"/>
  <c r="AC10" i="8" l="1"/>
  <c r="AC71" i="8"/>
  <c r="AC76" i="8" s="1"/>
  <c r="AA95" i="5"/>
  <c r="AC269" i="2"/>
  <c r="AC272" i="2" s="1"/>
  <c r="AC270" i="2"/>
  <c r="AC273" i="2" s="1"/>
  <c r="AC276" i="2" s="1"/>
  <c r="AC61" i="5"/>
  <c r="AG166" i="1"/>
  <c r="AE205" i="2"/>
  <c r="AE213" i="2" s="1"/>
  <c r="AE253" i="2" s="1"/>
  <c r="AG149" i="1"/>
  <c r="AF18" i="2"/>
  <c r="AB91" i="5"/>
  <c r="AB75" i="5"/>
  <c r="AB58" i="5"/>
  <c r="AF7" i="4"/>
  <c r="AD6" i="5"/>
  <c r="AD61" i="5" s="1"/>
  <c r="AB57" i="8"/>
  <c r="AB62" i="8" s="1"/>
  <c r="AB48" i="8"/>
  <c r="AD31" i="4"/>
  <c r="AD306" i="1"/>
  <c r="AD307" i="1" s="1"/>
  <c r="AB7" i="5" s="1"/>
  <c r="AB8" i="5" s="1"/>
  <c r="AD254" i="2"/>
  <c r="AD260" i="2"/>
  <c r="AD281" i="2"/>
  <c r="AD282" i="2" s="1"/>
  <c r="AG25" i="4"/>
  <c r="AF232" i="2"/>
  <c r="AF240" i="2" s="1"/>
  <c r="AC19" i="8"/>
  <c r="X111" i="5"/>
  <c r="Y87" i="5"/>
  <c r="AC29" i="8" l="1"/>
  <c r="AC24" i="8"/>
  <c r="AC34" i="8" s="1"/>
  <c r="AD5" i="8"/>
  <c r="AC60" i="5"/>
  <c r="AC76" i="5"/>
  <c r="AH166" i="1"/>
  <c r="AH149" i="1"/>
  <c r="AF205" i="2"/>
  <c r="AF213" i="2" s="1"/>
  <c r="AF253" i="2" s="1"/>
  <c r="AD261" i="2"/>
  <c r="AD266" i="2"/>
  <c r="AD265" i="2" s="1"/>
  <c r="AD268" i="2" s="1"/>
  <c r="AG34" i="2"/>
  <c r="AG32" i="2" s="1"/>
  <c r="AI100" i="1" s="1"/>
  <c r="AF16" i="2"/>
  <c r="AC43" i="8"/>
  <c r="AE6" i="5"/>
  <c r="AE61" i="5" s="1"/>
  <c r="AG7" i="4"/>
  <c r="AE6" i="4"/>
  <c r="AE8" i="4" s="1"/>
  <c r="AE312" i="1"/>
  <c r="AE303" i="1" s="1"/>
  <c r="AC5" i="5"/>
  <c r="AD60" i="5"/>
  <c r="AE5" i="8"/>
  <c r="AD76" i="5"/>
  <c r="AB57" i="5"/>
  <c r="AA105" i="5"/>
  <c r="AB72" i="5"/>
  <c r="AB90" i="5"/>
  <c r="AE254" i="2"/>
  <c r="AE260" i="2"/>
  <c r="AE281" i="2"/>
  <c r="AE282" i="2" s="1"/>
  <c r="AC271" i="2"/>
  <c r="AC275" i="2"/>
  <c r="X112" i="5"/>
  <c r="Y112" i="5" s="1"/>
  <c r="Z112" i="5" s="1"/>
  <c r="Y95" i="5"/>
  <c r="AE10" i="8" l="1"/>
  <c r="AE71" i="8"/>
  <c r="AE76" i="8" s="1"/>
  <c r="AD10" i="8"/>
  <c r="AD71" i="8"/>
  <c r="AD76" i="8" s="1"/>
  <c r="AE76" i="5"/>
  <c r="AE60" i="5"/>
  <c r="AF5" i="8"/>
  <c r="AG232" i="2"/>
  <c r="AG240" i="2" s="1"/>
  <c r="AH25" i="4"/>
  <c r="AE266" i="2"/>
  <c r="AE265" i="2" s="1"/>
  <c r="AE268" i="2" s="1"/>
  <c r="AE261" i="2"/>
  <c r="AD75" i="5"/>
  <c r="AD91" i="5"/>
  <c r="AD90" i="5" s="1"/>
  <c r="AD269" i="2"/>
  <c r="AD272" i="2" s="1"/>
  <c r="AD270" i="2"/>
  <c r="AD273" i="2" s="1"/>
  <c r="AD276" i="2" s="1"/>
  <c r="AB71" i="5"/>
  <c r="AB78" i="5" s="1"/>
  <c r="AB88" i="5"/>
  <c r="AE19" i="8"/>
  <c r="AG18" i="2"/>
  <c r="AG16" i="2" s="1"/>
  <c r="AD19" i="8"/>
  <c r="AF312" i="1"/>
  <c r="AF303" i="1" s="1"/>
  <c r="AF6" i="4"/>
  <c r="AF8" i="4" s="1"/>
  <c r="AD5" i="5"/>
  <c r="AB63" i="5"/>
  <c r="AC58" i="5"/>
  <c r="AC57" i="8"/>
  <c r="AC62" i="8" s="1"/>
  <c r="AC48" i="8"/>
  <c r="AC91" i="5"/>
  <c r="AC75" i="5"/>
  <c r="AE306" i="1"/>
  <c r="AE307" i="1" s="1"/>
  <c r="AC7" i="5" s="1"/>
  <c r="AE31" i="4"/>
  <c r="AA104" i="5"/>
  <c r="AF260" i="2"/>
  <c r="AF281" i="2"/>
  <c r="AF282" i="2" s="1"/>
  <c r="AF254" i="2"/>
  <c r="AD29" i="8" l="1"/>
  <c r="AD24" i="8"/>
  <c r="AD34" i="8" s="1"/>
  <c r="AE29" i="8"/>
  <c r="AE24" i="8"/>
  <c r="AE34" i="8" s="1"/>
  <c r="AF10" i="8"/>
  <c r="AF71" i="8"/>
  <c r="AF76" i="8" s="1"/>
  <c r="AE270" i="2"/>
  <c r="AE273" i="2" s="1"/>
  <c r="AE276" i="2" s="1"/>
  <c r="AE269" i="2"/>
  <c r="AE272" i="2" s="1"/>
  <c r="AI166" i="1"/>
  <c r="AG205" i="2"/>
  <c r="AG213" i="2" s="1"/>
  <c r="AG253" i="2" s="1"/>
  <c r="AI149" i="1"/>
  <c r="AG312" i="1"/>
  <c r="AG303" i="1" s="1"/>
  <c r="AG6" i="4"/>
  <c r="AG8" i="4" s="1"/>
  <c r="AE5" i="5"/>
  <c r="AC8" i="5"/>
  <c r="AC90" i="5"/>
  <c r="AD58" i="5"/>
  <c r="AB87" i="5"/>
  <c r="AF19" i="8"/>
  <c r="AF261" i="2"/>
  <c r="AF266" i="2"/>
  <c r="AF265" i="2" s="1"/>
  <c r="AF268" i="2" s="1"/>
  <c r="AA111" i="5"/>
  <c r="AC57" i="5"/>
  <c r="AB105" i="5"/>
  <c r="AC72" i="5"/>
  <c r="AD43" i="8"/>
  <c r="AE43" i="8"/>
  <c r="AD271" i="2"/>
  <c r="AD275" i="2"/>
  <c r="AF31" i="4"/>
  <c r="AF306" i="1"/>
  <c r="AF307" i="1" s="1"/>
  <c r="AD7" i="5" s="1"/>
  <c r="AD8" i="5" s="1"/>
  <c r="AH7" i="4"/>
  <c r="AF6" i="5"/>
  <c r="B242" i="2"/>
  <c r="AE75" i="5"/>
  <c r="AE91" i="5"/>
  <c r="AE90" i="5" s="1"/>
  <c r="AF29" i="8" l="1"/>
  <c r="AF24" i="8"/>
  <c r="AF34" i="8" s="1"/>
  <c r="AE275" i="2"/>
  <c r="AE271" i="2"/>
  <c r="AC71" i="5"/>
  <c r="AC78" i="5" s="1"/>
  <c r="AC88" i="5"/>
  <c r="AF43" i="8"/>
  <c r="AD57" i="5"/>
  <c r="AD63" i="5" s="1"/>
  <c r="AD72" i="5"/>
  <c r="AC105" i="5"/>
  <c r="AC104" i="5" s="1"/>
  <c r="AC111" i="5" s="1"/>
  <c r="AF61" i="5"/>
  <c r="B6" i="5"/>
  <c r="E23" i="5" s="1"/>
  <c r="AC63" i="5"/>
  <c r="AB95" i="5"/>
  <c r="AG31" i="4"/>
  <c r="AG306" i="1"/>
  <c r="AG307" i="1" s="1"/>
  <c r="AE7" i="5" s="1"/>
  <c r="AA112" i="5"/>
  <c r="AE57" i="8"/>
  <c r="AE62" i="8" s="1"/>
  <c r="AE48" i="8"/>
  <c r="AD57" i="8"/>
  <c r="AD62" i="8" s="1"/>
  <c r="AD48" i="8"/>
  <c r="AB104" i="5"/>
  <c r="AF269" i="2"/>
  <c r="AF272" i="2" s="1"/>
  <c r="AF270" i="2"/>
  <c r="AF273" i="2" s="1"/>
  <c r="AF276" i="2" s="1"/>
  <c r="AE58" i="5"/>
  <c r="AG281" i="2"/>
  <c r="AG282" i="2" s="1"/>
  <c r="AG254" i="2"/>
  <c r="AG260" i="2"/>
  <c r="AF271" i="2" l="1"/>
  <c r="AF275" i="2"/>
  <c r="AF57" i="8"/>
  <c r="AF62" i="8" s="1"/>
  <c r="AF48" i="8"/>
  <c r="AB111" i="5"/>
  <c r="AB112" i="5" s="1"/>
  <c r="AC112" i="5" s="1"/>
  <c r="AD71" i="5"/>
  <c r="AD78" i="5" s="1"/>
  <c r="AD88" i="5"/>
  <c r="AD87" i="5" s="1"/>
  <c r="AD95" i="5" s="1"/>
  <c r="AC87" i="5"/>
  <c r="AG266" i="2"/>
  <c r="AG265" i="2" s="1"/>
  <c r="AG268" i="2" s="1"/>
  <c r="AG261" i="2"/>
  <c r="AE57" i="5"/>
  <c r="AE72" i="5"/>
  <c r="AD105" i="5"/>
  <c r="AF5" i="5"/>
  <c r="AH6" i="4"/>
  <c r="AH8" i="4" s="1"/>
  <c r="AH312" i="1"/>
  <c r="AH303" i="1" s="1"/>
  <c r="AE8" i="5"/>
  <c r="AG5" i="8"/>
  <c r="AF76" i="5"/>
  <c r="AF60" i="5"/>
  <c r="B60" i="5" s="1"/>
  <c r="B61" i="5"/>
  <c r="B76" i="5" l="1"/>
  <c r="B21" i="6" s="1"/>
  <c r="AG10" i="8"/>
  <c r="C10" i="8" s="1"/>
  <c r="C12" i="8" s="1"/>
  <c r="AG71" i="8"/>
  <c r="AG76" i="8" s="1"/>
  <c r="AG270" i="2"/>
  <c r="AG273" i="2" s="1"/>
  <c r="AG276" i="2" s="1"/>
  <c r="AG269" i="2"/>
  <c r="AG272" i="2" s="1"/>
  <c r="AF75" i="5"/>
  <c r="B75" i="5" s="1"/>
  <c r="AF91" i="5"/>
  <c r="AG19" i="8"/>
  <c r="C5" i="8"/>
  <c r="C7" i="8" s="1"/>
  <c r="AH31" i="4"/>
  <c r="AH306" i="1"/>
  <c r="AH307" i="1" s="1"/>
  <c r="AF7" i="5" s="1"/>
  <c r="AF10" i="5" s="1"/>
  <c r="AE63" i="5"/>
  <c r="AC95" i="5"/>
  <c r="AF58" i="5"/>
  <c r="B5" i="5"/>
  <c r="E22" i="5" s="1"/>
  <c r="AD104" i="5"/>
  <c r="AE71" i="5"/>
  <c r="AE78" i="5" s="1"/>
  <c r="AE88" i="5"/>
  <c r="AE87" i="5" s="1"/>
  <c r="AE95" i="5" s="1"/>
  <c r="AG29" i="8" l="1"/>
  <c r="C29" i="8" s="1"/>
  <c r="C31" i="8" s="1"/>
  <c r="AG24" i="8"/>
  <c r="AD111" i="5"/>
  <c r="AF90" i="5"/>
  <c r="B91" i="5"/>
  <c r="AF59" i="5"/>
  <c r="AF57" i="5" s="1"/>
  <c r="D20" i="5"/>
  <c r="B10" i="5"/>
  <c r="AF72" i="5"/>
  <c r="AE105" i="5"/>
  <c r="F52" i="6" s="1"/>
  <c r="B58" i="5"/>
  <c r="AG275" i="2"/>
  <c r="AG271" i="2"/>
  <c r="AF8" i="5"/>
  <c r="B8" i="5" s="1"/>
  <c r="B7" i="5"/>
  <c r="AG43" i="8"/>
  <c r="C19" i="8"/>
  <c r="C21" i="8" s="1"/>
  <c r="E21" i="5" l="1"/>
  <c r="E24" i="5" s="1"/>
  <c r="E25" i="5" s="1"/>
  <c r="C26" i="5" s="1"/>
  <c r="D28" i="5" s="1"/>
  <c r="D30" i="5" s="1"/>
  <c r="C31" i="5" s="1"/>
  <c r="AG34" i="8"/>
  <c r="C34" i="8" s="1"/>
  <c r="C36" i="8" s="1"/>
  <c r="C24" i="8"/>
  <c r="C26" i="8" s="1"/>
  <c r="AG57" i="8"/>
  <c r="AG62" i="8" s="1"/>
  <c r="C62" i="8" s="1"/>
  <c r="C64" i="8" s="1"/>
  <c r="AG48" i="8"/>
  <c r="C48" i="8" s="1"/>
  <c r="C50" i="8" s="1"/>
  <c r="C43" i="8"/>
  <c r="C45" i="8" s="1"/>
  <c r="AF63" i="5"/>
  <c r="B57" i="5"/>
  <c r="AE106" i="5"/>
  <c r="AE104" i="5" s="1"/>
  <c r="B117" i="5" s="1"/>
  <c r="B59" i="5"/>
  <c r="AF74" i="5"/>
  <c r="AF88" i="5"/>
  <c r="B72" i="5"/>
  <c r="F11" i="6" s="1"/>
  <c r="AD112" i="5"/>
  <c r="F37" i="5" l="1"/>
  <c r="F36" i="5" s="1"/>
  <c r="K9" i="4"/>
  <c r="K34" i="4" s="1"/>
  <c r="K24" i="4" s="1"/>
  <c r="O9" i="4"/>
  <c r="O11" i="4" s="1"/>
  <c r="O14" i="4" s="1"/>
  <c r="O16" i="4" s="1"/>
  <c r="L9" i="4"/>
  <c r="L11" i="4" s="1"/>
  <c r="L14" i="4" s="1"/>
  <c r="L16" i="4" s="1"/>
  <c r="L17" i="4" s="1"/>
  <c r="L19" i="4" s="1"/>
  <c r="L23" i="4" s="1"/>
  <c r="Y9" i="4"/>
  <c r="Y34" i="4" s="1"/>
  <c r="Y24" i="4" s="1"/>
  <c r="AG9" i="4"/>
  <c r="AG11" i="4" s="1"/>
  <c r="AG14" i="4" s="1"/>
  <c r="AG16" i="4" s="1"/>
  <c r="AB9" i="4"/>
  <c r="AB34" i="4" s="1"/>
  <c r="AB24" i="4" s="1"/>
  <c r="D37" i="5"/>
  <c r="D36" i="5" s="1"/>
  <c r="I9" i="4"/>
  <c r="I34" i="4" s="1"/>
  <c r="I24" i="4" s="1"/>
  <c r="B37" i="5"/>
  <c r="C41" i="5" s="1"/>
  <c r="J9" i="4"/>
  <c r="J11" i="4" s="1"/>
  <c r="J14" i="4" s="1"/>
  <c r="J16" i="4" s="1"/>
  <c r="AA9" i="4"/>
  <c r="AA11" i="4" s="1"/>
  <c r="AA14" i="4" s="1"/>
  <c r="AA16" i="4" s="1"/>
  <c r="AA17" i="4" s="1"/>
  <c r="AA19" i="4" s="1"/>
  <c r="AA23" i="4" s="1"/>
  <c r="AD9" i="4"/>
  <c r="AD11" i="4" s="1"/>
  <c r="AD14" i="4" s="1"/>
  <c r="AD16" i="4" s="1"/>
  <c r="AD17" i="4" s="1"/>
  <c r="AD19" i="4" s="1"/>
  <c r="AD23" i="4" s="1"/>
  <c r="H37" i="5"/>
  <c r="H36" i="5" s="1"/>
  <c r="D9" i="4"/>
  <c r="D11" i="4" s="1"/>
  <c r="D14" i="4" s="1"/>
  <c r="D16" i="4" s="1"/>
  <c r="H9" i="4"/>
  <c r="H11" i="4" s="1"/>
  <c r="H14" i="4" s="1"/>
  <c r="H16" i="4" s="1"/>
  <c r="H17" i="4" s="1"/>
  <c r="H19" i="4" s="1"/>
  <c r="H23" i="4" s="1"/>
  <c r="E9" i="4"/>
  <c r="E34" i="4" s="1"/>
  <c r="E24" i="4" s="1"/>
  <c r="C37" i="5"/>
  <c r="C36" i="5" s="1"/>
  <c r="AF9" i="4"/>
  <c r="AF11" i="4" s="1"/>
  <c r="AF14" i="4" s="1"/>
  <c r="AF16" i="4" s="1"/>
  <c r="F9" i="4"/>
  <c r="F34" i="4" s="1"/>
  <c r="F24" i="4" s="1"/>
  <c r="T9" i="4"/>
  <c r="T34" i="4" s="1"/>
  <c r="T24" i="4" s="1"/>
  <c r="AC9" i="4"/>
  <c r="AC34" i="4" s="1"/>
  <c r="AC24" i="4" s="1"/>
  <c r="AE9" i="4"/>
  <c r="AE11" i="4" s="1"/>
  <c r="AE14" i="4" s="1"/>
  <c r="AE16" i="4" s="1"/>
  <c r="V9" i="4"/>
  <c r="V11" i="4" s="1"/>
  <c r="V14" i="4" s="1"/>
  <c r="V16" i="4" s="1"/>
  <c r="V17" i="4" s="1"/>
  <c r="V19" i="4" s="1"/>
  <c r="V23" i="4" s="1"/>
  <c r="E37" i="5"/>
  <c r="E36" i="5" s="1"/>
  <c r="Z9" i="4"/>
  <c r="Z11" i="4" s="1"/>
  <c r="Z14" i="4" s="1"/>
  <c r="Z16" i="4" s="1"/>
  <c r="Z17" i="4" s="1"/>
  <c r="Z19" i="4" s="1"/>
  <c r="Z23" i="4" s="1"/>
  <c r="W9" i="4"/>
  <c r="W11" i="4" s="1"/>
  <c r="W14" i="4" s="1"/>
  <c r="W16" i="4" s="1"/>
  <c r="R9" i="4"/>
  <c r="R34" i="4" s="1"/>
  <c r="R24" i="4" s="1"/>
  <c r="C9" i="4"/>
  <c r="C11" i="4" s="1"/>
  <c r="X9" i="4"/>
  <c r="X34" i="4" s="1"/>
  <c r="X24" i="4" s="1"/>
  <c r="AH9" i="4"/>
  <c r="AH34" i="4" s="1"/>
  <c r="AH24" i="4" s="1"/>
  <c r="P9" i="4"/>
  <c r="P11" i="4" s="1"/>
  <c r="P14" i="4" s="1"/>
  <c r="P16" i="4" s="1"/>
  <c r="P17" i="4" s="1"/>
  <c r="P19" i="4" s="1"/>
  <c r="P23" i="4" s="1"/>
  <c r="N9" i="4"/>
  <c r="N34" i="4" s="1"/>
  <c r="N24" i="4" s="1"/>
  <c r="G9" i="4"/>
  <c r="G34" i="4" s="1"/>
  <c r="G24" i="4" s="1"/>
  <c r="Q9" i="4"/>
  <c r="Q11" i="4" s="1"/>
  <c r="Q14" i="4" s="1"/>
  <c r="Q16" i="4" s="1"/>
  <c r="U9" i="4"/>
  <c r="U34" i="4" s="1"/>
  <c r="U24" i="4" s="1"/>
  <c r="G37" i="5"/>
  <c r="G36" i="5" s="1"/>
  <c r="S9" i="4"/>
  <c r="S34" i="4" s="1"/>
  <c r="S24" i="4" s="1"/>
  <c r="M9" i="4"/>
  <c r="C76" i="8"/>
  <c r="C78" i="8" s="1"/>
  <c r="C71" i="8"/>
  <c r="C73" i="8" s="1"/>
  <c r="AF89" i="5"/>
  <c r="B89" i="5" s="1"/>
  <c r="B74" i="5"/>
  <c r="W34" i="4"/>
  <c r="W24" i="4" s="1"/>
  <c r="AE111" i="5"/>
  <c r="B115" i="5" s="1"/>
  <c r="B88" i="5"/>
  <c r="C57" i="8"/>
  <c r="C59" i="8" s="1"/>
  <c r="M34" i="4"/>
  <c r="M24" i="4" s="1"/>
  <c r="M11" i="4"/>
  <c r="M14" i="4" s="1"/>
  <c r="M16" i="4" s="1"/>
  <c r="B63" i="5"/>
  <c r="B66" i="5"/>
  <c r="B65" i="5"/>
  <c r="AF34" i="4"/>
  <c r="AF24" i="4" s="1"/>
  <c r="J34" i="4"/>
  <c r="J24" i="4" s="1"/>
  <c r="AF71" i="5"/>
  <c r="AF78" i="5" s="1"/>
  <c r="I11" i="4"/>
  <c r="I14" i="4" s="1"/>
  <c r="I16" i="4" s="1"/>
  <c r="AB11" i="4"/>
  <c r="AB14" i="4" s="1"/>
  <c r="AB16" i="4" s="1"/>
  <c r="AB17" i="4" s="1"/>
  <c r="AB19" i="4" s="1"/>
  <c r="AB23" i="4" s="1"/>
  <c r="Y11" i="4"/>
  <c r="Y14" i="4" s="1"/>
  <c r="Y16" i="4" s="1"/>
  <c r="Y17" i="4" s="1"/>
  <c r="Y19" i="4" s="1"/>
  <c r="Y23" i="4" s="1"/>
  <c r="AE34" i="4" l="1"/>
  <c r="AE24" i="4" s="1"/>
  <c r="AH11" i="4"/>
  <c r="AH14" i="4" s="1"/>
  <c r="AH16" i="4" s="1"/>
  <c r="D34" i="4"/>
  <c r="D24" i="4" s="1"/>
  <c r="O34" i="4"/>
  <c r="O24" i="4" s="1"/>
  <c r="T11" i="4"/>
  <c r="T14" i="4" s="1"/>
  <c r="T16" i="4" s="1"/>
  <c r="T17" i="4" s="1"/>
  <c r="T19" i="4" s="1"/>
  <c r="T23" i="4" s="1"/>
  <c r="T22" i="4" s="1"/>
  <c r="E11" i="4"/>
  <c r="E14" i="4" s="1"/>
  <c r="E16" i="4" s="1"/>
  <c r="E17" i="4" s="1"/>
  <c r="E19" i="4" s="1"/>
  <c r="E23" i="4" s="1"/>
  <c r="AD34" i="4"/>
  <c r="AD24" i="4" s="1"/>
  <c r="AD35" i="4" s="1"/>
  <c r="AD44" i="4" s="1"/>
  <c r="K11" i="4"/>
  <c r="K14" i="4" s="1"/>
  <c r="K16" i="4" s="1"/>
  <c r="K17" i="4" s="1"/>
  <c r="K19" i="4" s="1"/>
  <c r="K23" i="4" s="1"/>
  <c r="AF87" i="5"/>
  <c r="AF95" i="5" s="1"/>
  <c r="F41" i="5"/>
  <c r="F51" i="5" s="1"/>
  <c r="Z34" i="4"/>
  <c r="Z24" i="4" s="1"/>
  <c r="Z22" i="4" s="1"/>
  <c r="Q34" i="4"/>
  <c r="Q24" i="4" s="1"/>
  <c r="AG34" i="4"/>
  <c r="AG24" i="4" s="1"/>
  <c r="G11" i="4"/>
  <c r="G14" i="4" s="1"/>
  <c r="G16" i="4" s="1"/>
  <c r="G17" i="4" s="1"/>
  <c r="G19" i="4" s="1"/>
  <c r="G23" i="4" s="1"/>
  <c r="G35" i="4" s="1"/>
  <c r="G41" i="5"/>
  <c r="J37" i="4" s="1"/>
  <c r="J39" i="4" s="1"/>
  <c r="F11" i="4"/>
  <c r="F14" i="4" s="1"/>
  <c r="F16" i="4" s="1"/>
  <c r="F17" i="4" s="1"/>
  <c r="F19" i="4" s="1"/>
  <c r="F23" i="4" s="1"/>
  <c r="F35" i="4" s="1"/>
  <c r="AC11" i="4"/>
  <c r="AC14" i="4" s="1"/>
  <c r="AC16" i="4" s="1"/>
  <c r="AC17" i="4" s="1"/>
  <c r="AC19" i="4" s="1"/>
  <c r="AC23" i="4" s="1"/>
  <c r="L34" i="4"/>
  <c r="L24" i="4" s="1"/>
  <c r="L22" i="4" s="1"/>
  <c r="E41" i="5"/>
  <c r="E40" i="5" s="1"/>
  <c r="D41" i="5"/>
  <c r="D51" i="5" s="1"/>
  <c r="AA34" i="4"/>
  <c r="AA24" i="4" s="1"/>
  <c r="AA22" i="4" s="1"/>
  <c r="N11" i="4"/>
  <c r="N14" i="4" s="1"/>
  <c r="N16" i="4" s="1"/>
  <c r="N17" i="4" s="1"/>
  <c r="N19" i="4" s="1"/>
  <c r="N23" i="4" s="1"/>
  <c r="N22" i="4" s="1"/>
  <c r="S11" i="4"/>
  <c r="S14" i="4" s="1"/>
  <c r="S16" i="4" s="1"/>
  <c r="S17" i="4" s="1"/>
  <c r="S19" i="4" s="1"/>
  <c r="S23" i="4" s="1"/>
  <c r="V34" i="4"/>
  <c r="V24" i="4" s="1"/>
  <c r="V22" i="4" s="1"/>
  <c r="B36" i="5"/>
  <c r="X11" i="4"/>
  <c r="X14" i="4" s="1"/>
  <c r="X16" i="4" s="1"/>
  <c r="X17" i="4" s="1"/>
  <c r="X19" i="4" s="1"/>
  <c r="X23" i="4" s="1"/>
  <c r="X35" i="4" s="1"/>
  <c r="X44" i="4" s="1"/>
  <c r="H34" i="4"/>
  <c r="H24" i="4" s="1"/>
  <c r="H35" i="4" s="1"/>
  <c r="R11" i="4"/>
  <c r="R14" i="4" s="1"/>
  <c r="R16" i="4" s="1"/>
  <c r="R17" i="4" s="1"/>
  <c r="R19" i="4" s="1"/>
  <c r="R23" i="4" s="1"/>
  <c r="R22" i="4" s="1"/>
  <c r="P34" i="4"/>
  <c r="P24" i="4" s="1"/>
  <c r="P35" i="4" s="1"/>
  <c r="P44" i="4" s="1"/>
  <c r="U11" i="4"/>
  <c r="U14" i="4" s="1"/>
  <c r="U16" i="4" s="1"/>
  <c r="U17" i="4" s="1"/>
  <c r="U19" i="4" s="1"/>
  <c r="U23" i="4" s="1"/>
  <c r="U22" i="4" s="1"/>
  <c r="B41" i="5"/>
  <c r="C73" i="5" s="1"/>
  <c r="Q17" i="4"/>
  <c r="Q19" i="4" s="1"/>
  <c r="Q23" i="4" s="1"/>
  <c r="W17" i="4"/>
  <c r="W19" i="4" s="1"/>
  <c r="W23" i="4" s="1"/>
  <c r="AB35" i="4"/>
  <c r="AB44" i="4" s="1"/>
  <c r="AB22" i="4"/>
  <c r="J17" i="4"/>
  <c r="J19" i="4" s="1"/>
  <c r="J23" i="4" s="1"/>
  <c r="AF17" i="4"/>
  <c r="AF19" i="4" s="1"/>
  <c r="AF23" i="4" s="1"/>
  <c r="T35" i="4"/>
  <c r="T44" i="4" s="1"/>
  <c r="O17" i="4"/>
  <c r="O19" i="4" s="1"/>
  <c r="O23" i="4" s="1"/>
  <c r="Y22" i="4"/>
  <c r="Y35" i="4"/>
  <c r="Y44" i="4" s="1"/>
  <c r="I37" i="4"/>
  <c r="I39" i="4" s="1"/>
  <c r="M17" i="4"/>
  <c r="M19" i="4" s="1"/>
  <c r="M23" i="4" s="1"/>
  <c r="B116" i="5"/>
  <c r="D17" i="4"/>
  <c r="D19" i="4" s="1"/>
  <c r="D23" i="4" s="1"/>
  <c r="AG17" i="4"/>
  <c r="AG19" i="4" s="1"/>
  <c r="AG23" i="4" s="1"/>
  <c r="I17" i="4"/>
  <c r="I19" i="4" s="1"/>
  <c r="I23" i="4" s="1"/>
  <c r="C40" i="5"/>
  <c r="F37" i="4"/>
  <c r="F39" i="4" s="1"/>
  <c r="D73" i="5"/>
  <c r="D71" i="5" s="1"/>
  <c r="D78" i="5" s="1"/>
  <c r="C51" i="5"/>
  <c r="AE17" i="4"/>
  <c r="AE19" i="4" s="1"/>
  <c r="AE23" i="4" s="1"/>
  <c r="AH17" i="4"/>
  <c r="AH19" i="4" s="1"/>
  <c r="AH23" i="4" s="1"/>
  <c r="AE112" i="5"/>
  <c r="X22" i="4" l="1"/>
  <c r="F40" i="5"/>
  <c r="F22" i="4"/>
  <c r="U35" i="4"/>
  <c r="U44" i="4" s="1"/>
  <c r="AD22" i="4"/>
  <c r="P22" i="4"/>
  <c r="Z35" i="4"/>
  <c r="Z44" i="4" s="1"/>
  <c r="H41" i="5"/>
  <c r="H40" i="5" s="1"/>
  <c r="B87" i="5"/>
  <c r="AA35" i="4"/>
  <c r="AA44" i="4" s="1"/>
  <c r="G51" i="5"/>
  <c r="G47" i="5" s="1"/>
  <c r="G46" i="5" s="1"/>
  <c r="D40" i="5"/>
  <c r="N35" i="4"/>
  <c r="N44" i="4" s="1"/>
  <c r="L35" i="4"/>
  <c r="L44" i="4" s="1"/>
  <c r="H22" i="4"/>
  <c r="R35" i="4"/>
  <c r="R44" i="4" s="1"/>
  <c r="E37" i="4"/>
  <c r="E39" i="4" s="1"/>
  <c r="G22" i="4"/>
  <c r="G40" i="5"/>
  <c r="H37" i="4"/>
  <c r="H39" i="4" s="1"/>
  <c r="B51" i="5"/>
  <c r="B47" i="5" s="1"/>
  <c r="B46" i="5" s="1"/>
  <c r="B40" i="5"/>
  <c r="E51" i="5"/>
  <c r="E47" i="5" s="1"/>
  <c r="E46" i="5" s="1"/>
  <c r="G37" i="4"/>
  <c r="G39" i="4" s="1"/>
  <c r="V35" i="4"/>
  <c r="V44" i="4" s="1"/>
  <c r="D22" i="4"/>
  <c r="D35" i="4"/>
  <c r="D44" i="4" s="1"/>
  <c r="D47" i="4" s="1"/>
  <c r="E46" i="4" s="1"/>
  <c r="W35" i="4"/>
  <c r="W44" i="4" s="1"/>
  <c r="W22" i="4"/>
  <c r="AG35" i="4"/>
  <c r="AG44" i="4" s="1"/>
  <c r="AG22" i="4"/>
  <c r="S22" i="4"/>
  <c r="S35" i="4"/>
  <c r="S44" i="4" s="1"/>
  <c r="E22" i="4"/>
  <c r="E35" i="4"/>
  <c r="O22" i="4"/>
  <c r="O35" i="4"/>
  <c r="O44" i="4" s="1"/>
  <c r="Q22" i="4"/>
  <c r="Q35" i="4"/>
  <c r="Q44" i="4" s="1"/>
  <c r="AH35" i="4"/>
  <c r="AH44" i="4" s="1"/>
  <c r="AH22" i="4"/>
  <c r="AC22" i="4"/>
  <c r="AC35" i="4"/>
  <c r="AC44" i="4" s="1"/>
  <c r="M35" i="4"/>
  <c r="M44" i="4" s="1"/>
  <c r="M22" i="4"/>
  <c r="D50" i="5"/>
  <c r="D47" i="5"/>
  <c r="D46" i="5" s="1"/>
  <c r="F50" i="5"/>
  <c r="F47" i="5"/>
  <c r="F46" i="5" s="1"/>
  <c r="J35" i="4"/>
  <c r="J22" i="4"/>
  <c r="K35" i="4"/>
  <c r="K44" i="4" s="1"/>
  <c r="K22" i="4"/>
  <c r="C47" i="5"/>
  <c r="C46" i="5" s="1"/>
  <c r="C50" i="5"/>
  <c r="C71" i="5"/>
  <c r="B73" i="5"/>
  <c r="F21" i="6" s="1"/>
  <c r="G62" i="6"/>
  <c r="G52" i="6"/>
  <c r="C62" i="6"/>
  <c r="C52" i="6"/>
  <c r="AE22" i="4"/>
  <c r="AE35" i="4"/>
  <c r="AE44" i="4" s="1"/>
  <c r="I22" i="4"/>
  <c r="I35" i="4"/>
  <c r="AF22" i="4"/>
  <c r="AF35" i="4"/>
  <c r="AF44" i="4" s="1"/>
  <c r="G50" i="5" l="1"/>
  <c r="H51" i="5"/>
  <c r="H50" i="5" s="1"/>
  <c r="B50" i="5"/>
  <c r="E41" i="4" s="1"/>
  <c r="E43" i="4" s="1"/>
  <c r="E44" i="4" s="1"/>
  <c r="E47" i="4" s="1"/>
  <c r="F46" i="4" s="1"/>
  <c r="E50" i="5"/>
  <c r="H41" i="4" s="1"/>
  <c r="H43" i="4" s="1"/>
  <c r="H44" i="4" s="1"/>
  <c r="G41" i="4"/>
  <c r="G43" i="4" s="1"/>
  <c r="G44" i="4" s="1"/>
  <c r="E92" i="5"/>
  <c r="E90" i="5" s="1"/>
  <c r="E95" i="5" s="1"/>
  <c r="G92" i="5"/>
  <c r="G90" i="5" s="1"/>
  <c r="G95" i="5" s="1"/>
  <c r="I41" i="4"/>
  <c r="I43" i="4" s="1"/>
  <c r="I44" i="4" s="1"/>
  <c r="B71" i="5"/>
  <c r="C78" i="5"/>
  <c r="D92" i="5"/>
  <c r="D90" i="5" s="1"/>
  <c r="D95" i="5" s="1"/>
  <c r="F41" i="4"/>
  <c r="F43" i="4" s="1"/>
  <c r="F44" i="4" s="1"/>
  <c r="H92" i="5"/>
  <c r="H90" i="5" s="1"/>
  <c r="H95" i="5" s="1"/>
  <c r="J41" i="4"/>
  <c r="J43" i="4" s="1"/>
  <c r="J44" i="4" s="1"/>
  <c r="C92" i="5" l="1"/>
  <c r="H47" i="5"/>
  <c r="H46" i="5" s="1"/>
  <c r="F92" i="5"/>
  <c r="F90" i="5" s="1"/>
  <c r="F95" i="5" s="1"/>
  <c r="F47" i="4"/>
  <c r="G46" i="4" s="1"/>
  <c r="G47" i="4" s="1"/>
  <c r="H46" i="4" s="1"/>
  <c r="H47" i="4" s="1"/>
  <c r="I46" i="4" s="1"/>
  <c r="I47" i="4" s="1"/>
  <c r="J46" i="4" s="1"/>
  <c r="J47" i="4" s="1"/>
  <c r="K46" i="4" s="1"/>
  <c r="K47" i="4" s="1"/>
  <c r="L46" i="4" s="1"/>
  <c r="L47" i="4" s="1"/>
  <c r="M46" i="4" s="1"/>
  <c r="M47" i="4" s="1"/>
  <c r="N46" i="4" s="1"/>
  <c r="N47" i="4" s="1"/>
  <c r="O46" i="4" s="1"/>
  <c r="O47" i="4" s="1"/>
  <c r="P46" i="4" s="1"/>
  <c r="P47" i="4" s="1"/>
  <c r="Q46" i="4" s="1"/>
  <c r="Q47" i="4" s="1"/>
  <c r="R46" i="4" s="1"/>
  <c r="R47" i="4" s="1"/>
  <c r="S46" i="4" s="1"/>
  <c r="S47" i="4" s="1"/>
  <c r="T46" i="4" s="1"/>
  <c r="T47" i="4" s="1"/>
  <c r="U46" i="4" s="1"/>
  <c r="U47" i="4" s="1"/>
  <c r="V46" i="4" s="1"/>
  <c r="V47" i="4" s="1"/>
  <c r="W46" i="4" s="1"/>
  <c r="W47" i="4" s="1"/>
  <c r="X46" i="4" s="1"/>
  <c r="X47" i="4" s="1"/>
  <c r="Y46" i="4" s="1"/>
  <c r="Y47" i="4" s="1"/>
  <c r="Z46" i="4" s="1"/>
  <c r="Z47" i="4" s="1"/>
  <c r="AA46" i="4" s="1"/>
  <c r="AA47" i="4" s="1"/>
  <c r="AB46" i="4" s="1"/>
  <c r="AB47" i="4" s="1"/>
  <c r="AC46" i="4" s="1"/>
  <c r="AC47" i="4" s="1"/>
  <c r="AD46" i="4" s="1"/>
  <c r="AD47" i="4" s="1"/>
  <c r="AE46" i="4" s="1"/>
  <c r="AE47" i="4" s="1"/>
  <c r="AF46" i="4" s="1"/>
  <c r="AF47" i="4" s="1"/>
  <c r="AG46" i="4" s="1"/>
  <c r="AG47" i="4" s="1"/>
  <c r="AH46" i="4" s="1"/>
  <c r="AH47" i="4" s="1"/>
  <c r="B81" i="5"/>
  <c r="B78" i="5"/>
  <c r="B80" i="5"/>
  <c r="C90" i="5"/>
  <c r="B92" i="5" l="1"/>
  <c r="C21" i="6"/>
  <c r="G11" i="6"/>
  <c r="G21" i="6"/>
  <c r="C11" i="6"/>
  <c r="C95" i="5"/>
  <c r="B90" i="5"/>
  <c r="B98" i="5" l="1"/>
  <c r="B95" i="5"/>
  <c r="B97" i="5"/>
</calcChain>
</file>

<file path=xl/comments1.xml><?xml version="1.0" encoding="utf-8"?>
<comments xmlns="http://schemas.openxmlformats.org/spreadsheetml/2006/main">
  <authors>
    <author>Autor</author>
  </authors>
  <commentList>
    <comment ref="B29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brak danych z gminy Chmielnik, Czudec, Głogów Małopolski,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Poza gminami, które nie przekazały wniosków taryfowych, brak określenia amortyzacji dla Łańcuta gmina wiejska, Świlczy. Niepełna amortyzacja Trzebownisko, Krasne.
WSKAŹNIKI PLIK WODOCIĄG
</t>
        </r>
      </text>
    </comment>
    <comment ref="B49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Brak danych z gminy Chmielnik, Czudec, Głogów Młp.</t>
        </r>
      </text>
    </comment>
    <comment ref="D5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Poza gminami, które nie przekazały wniosków taryfowych, brak określenia amortyzacji dla Łańcuta gmina wiejska, Świlczy.  Niepełna amortyzacja 
Trzebownisko, Krasne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+200.000 = wartość materiału strukturotówrczego (torf, trociny, słoma) niezbędnego do wytworzenia kompostu</t>
        </r>
      </text>
    </comment>
  </commentList>
</comments>
</file>

<file path=xl/sharedStrings.xml><?xml version="1.0" encoding="utf-8"?>
<sst xmlns="http://schemas.openxmlformats.org/spreadsheetml/2006/main" count="1209" uniqueCount="447">
  <si>
    <t>rok bazowy</t>
  </si>
  <si>
    <t>Założenia makroekonomiczne</t>
  </si>
  <si>
    <t xml:space="preserve">Jednostka </t>
  </si>
  <si>
    <t>Stopa dyskontowa</t>
  </si>
  <si>
    <t>%</t>
  </si>
  <si>
    <t xml:space="preserve">Stawka podatku VAT </t>
  </si>
  <si>
    <t xml:space="preserve">Stopa inflacji </t>
  </si>
  <si>
    <t xml:space="preserve">Dochód do dyspozycji </t>
  </si>
  <si>
    <t>osoba</t>
  </si>
  <si>
    <t>szt.</t>
  </si>
  <si>
    <t>osób</t>
  </si>
  <si>
    <t>Dane dotyczące popytu - wariant bezinwestycyjny</t>
  </si>
  <si>
    <t>szt</t>
  </si>
  <si>
    <t>m3/d</t>
  </si>
  <si>
    <t xml:space="preserve">Dane dotyczace kosztów </t>
  </si>
  <si>
    <t>Koszty zwiazane z działaniem systemu</t>
  </si>
  <si>
    <t xml:space="preserve">PLN/rok </t>
  </si>
  <si>
    <t>Usługi obce</t>
  </si>
  <si>
    <t>Podatki i opłaty</t>
  </si>
  <si>
    <t>PLN/m3</t>
  </si>
  <si>
    <t>Dane dotyczące popytu - wariant inwestycyjny</t>
  </si>
  <si>
    <t xml:space="preserve">m3/dobę </t>
  </si>
  <si>
    <t>Wartość PLN</t>
  </si>
  <si>
    <t xml:space="preserve">VAT 23% </t>
  </si>
  <si>
    <t>Nadzór inwestorski</t>
  </si>
  <si>
    <t>Promocja Projektu</t>
  </si>
  <si>
    <t>RAZEM NETTO</t>
  </si>
  <si>
    <t>RAZEM VAT</t>
  </si>
  <si>
    <t xml:space="preserve">RAZEM BRUTTO </t>
  </si>
  <si>
    <t>Koszty kwalifikowane</t>
  </si>
  <si>
    <t>Koszty niekwalifikowane</t>
  </si>
  <si>
    <t>Harmonogram realizacji (koszty kwalifikowane)</t>
  </si>
  <si>
    <t>Prace inwestycyjne</t>
  </si>
  <si>
    <t>Pozostałe koszty (nadzór i promocja)</t>
  </si>
  <si>
    <t>RAZEM:</t>
  </si>
  <si>
    <t>Wyszczególnienie nakładów odtworzeniowych</t>
  </si>
  <si>
    <t>Razem:</t>
  </si>
  <si>
    <t>KAPITAŁ OBROTOWY NETTO</t>
  </si>
  <si>
    <t>Gotówka</t>
  </si>
  <si>
    <t>Należności bieżące</t>
  </si>
  <si>
    <t>Zapasy</t>
  </si>
  <si>
    <t>Zobowiązania bieżące</t>
  </si>
  <si>
    <t>Kapitał Obrotowy netto</t>
  </si>
  <si>
    <t>Zmiana w kapitale obrotowym</t>
  </si>
  <si>
    <t>Wyszczególnienie</t>
  </si>
  <si>
    <t>Wypływy związane z kosztami operacyjnymi</t>
  </si>
  <si>
    <t>Przychody ze sprzedazy</t>
  </si>
  <si>
    <t>WSKAŹNIKI ROTACJI</t>
  </si>
  <si>
    <t>Rotacja gotówki</t>
  </si>
  <si>
    <t>Rotacja należności</t>
  </si>
  <si>
    <t>Rotacja zapasów</t>
  </si>
  <si>
    <t>Rotacja zobowiązań</t>
  </si>
  <si>
    <t>Liczba dni w roku</t>
  </si>
  <si>
    <t>Zobowiązania</t>
  </si>
  <si>
    <t>Korzyści społeczno-ekonomiczne</t>
  </si>
  <si>
    <t>Eksploatacja</t>
  </si>
  <si>
    <t>Korzyści z tyt. wzrostu wartości ziemi</t>
  </si>
  <si>
    <t>ilość ziemi, na której cenę wpłynie realizacja inwestycji [m2]</t>
  </si>
  <si>
    <t>średnia cena ziemi przed realizacją inwestycji [PLN/m2]</t>
  </si>
  <si>
    <t>cena ziemi po realizacji inwestycji [PLN/m2]</t>
  </si>
  <si>
    <t>Korzyści z tyt wzrostu zatrudnienia</t>
  </si>
  <si>
    <t>ilość nowych miejsc pracy</t>
  </si>
  <si>
    <t>wartość zasiłku podstawowego [PLN]</t>
  </si>
  <si>
    <t>okres płacenia zasiłku (m-ce)</t>
  </si>
  <si>
    <t>minimalne wynagrodzenie netto</t>
  </si>
  <si>
    <t>Korzyści z tyt. powstania nowych przedsiębiorstw</t>
  </si>
  <si>
    <t>łączna ilość nowych przedsiębiorstw</t>
  </si>
  <si>
    <t>podatek dochodowy [PLN]</t>
  </si>
  <si>
    <t>Korzyści z tyt. zmniejszenia wydatków na ochronę zdrowia</t>
  </si>
  <si>
    <t>koszty porad lekarskich na osobę/rok</t>
  </si>
  <si>
    <t>udział w kosztach porad lekarskich wydatków na leczenie chorób pokarmowych</t>
  </si>
  <si>
    <t>Wartość rezydualna</t>
  </si>
  <si>
    <t>zużycie wody [m3/d]</t>
  </si>
  <si>
    <t>Gospodarstwa domowe</t>
  </si>
  <si>
    <t>Podmioty użytecznosci publicznej</t>
  </si>
  <si>
    <t>Podmioty gospodarcze</t>
  </si>
  <si>
    <t>zużycie wody [m3/r]</t>
  </si>
  <si>
    <t>m3/rok</t>
  </si>
  <si>
    <t xml:space="preserve">Ilośc dni w roku </t>
  </si>
  <si>
    <t>Liczba dni w miesiącu</t>
  </si>
  <si>
    <t>Popyt</t>
  </si>
  <si>
    <t xml:space="preserve"> Wnioskowany projekt</t>
  </si>
  <si>
    <t>1. Amortyzacja</t>
  </si>
  <si>
    <t>Razem</t>
  </si>
  <si>
    <t xml:space="preserve">Średnioroczny koszt </t>
  </si>
  <si>
    <t>Taryfy za dostarczenie 1 m3 wody - wariant bezinwestycyjny</t>
  </si>
  <si>
    <t>Taryfy za dostarczenie 1 m3 wody - wariant inwestycyjny</t>
  </si>
  <si>
    <t>Różnica w cenach taryf</t>
  </si>
  <si>
    <t>Obciążenie gospodarstw domowych [%]</t>
  </si>
  <si>
    <t>Miesięczny dochód do dyspozycji na 1 osobę w gospodarstwie domowym (DD)</t>
  </si>
  <si>
    <t>Udział opłat za usługi wodno-ściekowe w dochodzie do dyspozycji</t>
  </si>
  <si>
    <t>Udział opłat za odbiór ścieków w opłacie za usługi wodno - ściekowe</t>
  </si>
  <si>
    <t>Udział opłat za dostawy wody  w opłacie za usługi wodno - ściekowe</t>
  </si>
  <si>
    <t>Maksymalna opłata jednostkowa za 1 m3 brutto za dostawy wody i odbiór ścieków ogółem = 3% obciążeniu dochodów, w tym</t>
  </si>
  <si>
    <t>Cena jednostkowa (za 1 m3) ścieków brutto = 3% obciążeniu dochodów</t>
  </si>
  <si>
    <t>Cena jednostkowa (za 1 m3) wody brutto = 3% obciążenie dochodów</t>
  </si>
  <si>
    <t>Maksymalna opłata jednostkowa za 1 m3 netto za dostawy wody i odbiór ścieków ogółem = 3% obciążeniu dochodów, w tym</t>
  </si>
  <si>
    <t>Cena jednostkowa ścieków netto = 3% obciążenie dochodów</t>
  </si>
  <si>
    <t>Cena jednostkowa wody netto = 3% obciążenie dochodów</t>
  </si>
  <si>
    <t>Dopłaty do taryf wypłacane z budżetu lokalnego</t>
  </si>
  <si>
    <t xml:space="preserve">Przychody ze sprzedaży </t>
  </si>
  <si>
    <t>Wariant inwestycyjny</t>
  </si>
  <si>
    <t>Wariant bezinwestycyjny</t>
  </si>
  <si>
    <t>Wariant projektowy</t>
  </si>
  <si>
    <t>Oszczędność na zasiłkach [PLN]</t>
  </si>
  <si>
    <t>Wzrost dochodów budżetów domowych mieszkańców</t>
  </si>
  <si>
    <t>udział w kosztach porad lekarskich wydatków na leczenie chorób układu pokarmowego (obszar oddziaływania inwestycji)</t>
  </si>
  <si>
    <t>liczba mieszkańców aglomeracji</t>
  </si>
  <si>
    <t xml:space="preserve"> </t>
  </si>
  <si>
    <t>Lp</t>
  </si>
  <si>
    <t>Rachunek zysków i strat</t>
  </si>
  <si>
    <t>A</t>
  </si>
  <si>
    <t>Przychody netto ze sprzedaży i zrównane z nimi</t>
  </si>
  <si>
    <t>B</t>
  </si>
  <si>
    <t>Koszty działalności</t>
  </si>
  <si>
    <t>C</t>
  </si>
  <si>
    <t>Zysk na sprzedaży</t>
  </si>
  <si>
    <t>D</t>
  </si>
  <si>
    <t>Pozostałe przychody operacyjne</t>
  </si>
  <si>
    <t>E</t>
  </si>
  <si>
    <t>Pozostałe koszty operacyjne</t>
  </si>
  <si>
    <t>F</t>
  </si>
  <si>
    <t>Zysk na działalności operacyjnej</t>
  </si>
  <si>
    <t>G</t>
  </si>
  <si>
    <t>Przychody finansowe</t>
  </si>
  <si>
    <t>H</t>
  </si>
  <si>
    <t>Koszty finansowe</t>
  </si>
  <si>
    <t>I</t>
  </si>
  <si>
    <t>Zysk z działalności gospodarczej</t>
  </si>
  <si>
    <t>J</t>
  </si>
  <si>
    <t>Wynik zdarzeń nadzwyczajnych</t>
  </si>
  <si>
    <t>K</t>
  </si>
  <si>
    <t>Zysk brutto</t>
  </si>
  <si>
    <t>L</t>
  </si>
  <si>
    <t>Podatek dochodowy</t>
  </si>
  <si>
    <t>M</t>
  </si>
  <si>
    <t>Pozostałe obowiązkowe zmniejszenia zysku</t>
  </si>
  <si>
    <t>N</t>
  </si>
  <si>
    <t>Zysk netto</t>
  </si>
  <si>
    <t>Rachunek przepływów pieniężnych</t>
  </si>
  <si>
    <t>Przepływy środków pieniężnych z działalności operacyjnej</t>
  </si>
  <si>
    <t>Wynik finansowy netto (zysk, strata)</t>
  </si>
  <si>
    <t>II</t>
  </si>
  <si>
    <t>Korekty o pozycje</t>
  </si>
  <si>
    <t>1.</t>
  </si>
  <si>
    <t>Amortyzacja</t>
  </si>
  <si>
    <t>2.</t>
  </si>
  <si>
    <t>Zyski/straty z różnic kursowych</t>
  </si>
  <si>
    <t>3.</t>
  </si>
  <si>
    <t>Odsetki i udziały w zyskach (dywidendy)</t>
  </si>
  <si>
    <t>4.</t>
  </si>
  <si>
    <t>Zysk strata z działalności inwestycyjnej</t>
  </si>
  <si>
    <t>5.</t>
  </si>
  <si>
    <t>Zmiana stanu rezerw</t>
  </si>
  <si>
    <t>6.</t>
  </si>
  <si>
    <t>Zmiana stanu zapasów</t>
  </si>
  <si>
    <t>7.</t>
  </si>
  <si>
    <t>Zmiana stanu należności</t>
  </si>
  <si>
    <t>8.</t>
  </si>
  <si>
    <t>Zmiana stanu zobowiązań krótkoterminowych (bez pożyczek)</t>
  </si>
  <si>
    <t>9.</t>
  </si>
  <si>
    <t>Zmiana stanu rozliczeń międzyokresowych</t>
  </si>
  <si>
    <t>10.</t>
  </si>
  <si>
    <t>Inne korekty</t>
  </si>
  <si>
    <t>III.</t>
  </si>
  <si>
    <t>Środki pieniężne netto z działalności operacyjnej</t>
  </si>
  <si>
    <t>Przepływy pieniężne środków z działalności inwestycyjnej</t>
  </si>
  <si>
    <t>Wpływy</t>
  </si>
  <si>
    <t>Wydatki</t>
  </si>
  <si>
    <t>III</t>
  </si>
  <si>
    <t>Przepływy pieniężne netto z działalności inwestycyjnej (I-II)</t>
  </si>
  <si>
    <t>Przepływy środków pieniężnych z działalności finansowej</t>
  </si>
  <si>
    <t>Wpływy (wkład własny)</t>
  </si>
  <si>
    <t>Przepływy piniężne netto z działalności finansowej (I-II)</t>
  </si>
  <si>
    <t>Przepływy piniężne netto razem (A.III+B.III+C.III)</t>
  </si>
  <si>
    <t>Bilansowa zmiana środków pieniężnych</t>
  </si>
  <si>
    <t>Środki pieniężne na początek okresu</t>
  </si>
  <si>
    <t>Środki pieniężne na koniec okresu (F+D)</t>
  </si>
  <si>
    <t xml:space="preserve">Wyszczególnienie </t>
  </si>
  <si>
    <t>Wartość
zdyskontowana</t>
  </si>
  <si>
    <t xml:space="preserve">Przychody operacyjne </t>
  </si>
  <si>
    <t>Koszty operacyjne (bez amortyzacji)</t>
  </si>
  <si>
    <t>Zmiana kapitału obrotowego</t>
  </si>
  <si>
    <t xml:space="preserve">Środki pienieżne </t>
  </si>
  <si>
    <t xml:space="preserve">Wartość rezydualna </t>
  </si>
  <si>
    <t>Koszt inwestycji (w tym wydatki odtworzeniowe)</t>
  </si>
  <si>
    <t>Lp.</t>
  </si>
  <si>
    <t>Parametry</t>
  </si>
  <si>
    <t>Wartość niezdyskontowana</t>
  </si>
  <si>
    <t>Wartość zdyskontowana</t>
  </si>
  <si>
    <t>Okres odniesienia (lata)</t>
  </si>
  <si>
    <t>Finansowa stopa dyskontowa</t>
  </si>
  <si>
    <t>Łączny koszt inwestycji (PLN, N)</t>
  </si>
  <si>
    <t>Łączny koszt Inwestycji (PLN, D)</t>
  </si>
  <si>
    <t>Wartość rezydualna (PLN, N)</t>
  </si>
  <si>
    <t>Wartość rezydualna (PLN,D)</t>
  </si>
  <si>
    <t>Dochody (PLN, D)</t>
  </si>
  <si>
    <t>Koszty operacyjne (PLN, D)</t>
  </si>
  <si>
    <t>Dochód netto = (7) - (8) + (6)</t>
  </si>
  <si>
    <t>Max wydatki kwalifik.(art.. 55 ust. 2) = (4) - (9)</t>
  </si>
  <si>
    <t>Luka w finansowan. (%) = (10/4)</t>
  </si>
  <si>
    <t>Koszy kwalifikowalne (PLN,N)</t>
  </si>
  <si>
    <t>Kwota wskazana w decyzji, tj. „kwota, do której stosowana jest stopa współfinansowania osi priorytetowej” (art. 41 ust. 2) = (11)*(12)</t>
  </si>
  <si>
    <t>Maksymalna stopa współfinansowania osi priorytetowej (%)</t>
  </si>
  <si>
    <t>Maksymalny poziom dofinansowania = (13)*(14)</t>
  </si>
  <si>
    <t>Stopa dofinansowania (%) (15)/(12)</t>
  </si>
  <si>
    <t>Struktura finansowania [%]</t>
  </si>
  <si>
    <t xml:space="preserve">RAZEM </t>
  </si>
  <si>
    <t>Środki własne</t>
  </si>
  <si>
    <t>Środki EFRR</t>
  </si>
  <si>
    <t>Struktura finansowania [PLN]</t>
  </si>
  <si>
    <t>Wskaźniki rentowności  (bez uwzględnienia dotacji)</t>
  </si>
  <si>
    <t>Wpływy ogółem</t>
  </si>
  <si>
    <t>Wypływy ogółem</t>
  </si>
  <si>
    <t xml:space="preserve">Pieniężne koszty operacyjne </t>
  </si>
  <si>
    <t>Nakłady inwestycyjne ogółem</t>
  </si>
  <si>
    <t>Przepływy pieniężne netto</t>
  </si>
  <si>
    <t>stopa dyskontowa</t>
  </si>
  <si>
    <t>Finansowa wewnętrzna stopa zwrotu z inwestycji (FRR/C)</t>
  </si>
  <si>
    <t>Finansowa zaktualizowana wartość netto inwestycji (FNPV/C)</t>
  </si>
  <si>
    <t>nie ma możliwości wyliczenia</t>
  </si>
  <si>
    <t>Wskaźniki rentowności  (z uwzględnieniem dotacji)</t>
  </si>
  <si>
    <t>Dotacja EFRR</t>
  </si>
  <si>
    <t xml:space="preserve">Nakłady inwestycyjne ogółem </t>
  </si>
  <si>
    <t>Okres zwrotu</t>
  </si>
  <si>
    <t>Wskaźniki rentowności kapitału</t>
  </si>
  <si>
    <t xml:space="preserve">Kapitał własny </t>
  </si>
  <si>
    <t xml:space="preserve">Odsetki </t>
  </si>
  <si>
    <t xml:space="preserve">Spłata kredytów </t>
  </si>
  <si>
    <t>Finansowa wewnętrzna stopa zwrotu z kapitału (FRR/K)</t>
  </si>
  <si>
    <t>Finansowa zaktualizowana wartość netto z kapitału (FNPV/K)</t>
  </si>
  <si>
    <t>Budowa</t>
  </si>
  <si>
    <t>WPŁYWY PIENIĘŻNE</t>
  </si>
  <si>
    <t>Przychody operacyjne</t>
  </si>
  <si>
    <t>Dodatkowe korzyści społeczno - ekonomiczne</t>
  </si>
  <si>
    <t>WYPŁYWY PIENIĘŻNE</t>
  </si>
  <si>
    <t>Nakłady inwestycyjne (wartość netto) /w tym wydatki odtworzeniowe/</t>
  </si>
  <si>
    <t>Roczne koszty operacyjne 
(bez ubezpieczeń społecznych)</t>
  </si>
  <si>
    <t>SALDO PIENIĘŻNE NETTO</t>
  </si>
  <si>
    <t>SKUMULOWANE SALDO PIENIĘŻNE</t>
  </si>
  <si>
    <t>stopa dyskonta</t>
  </si>
  <si>
    <t xml:space="preserve">EIRR = </t>
  </si>
  <si>
    <t>ENPV =</t>
  </si>
  <si>
    <t>B/C =</t>
  </si>
  <si>
    <t>Zmienne</t>
  </si>
  <si>
    <t>Nakłady inwestycyjne</t>
  </si>
  <si>
    <t>Koszty operacyjne</t>
  </si>
  <si>
    <t>NPV</t>
  </si>
  <si>
    <t>% wartości oczekiwanej</t>
  </si>
  <si>
    <t>ENPV</t>
  </si>
  <si>
    <t xml:space="preserve">Analiza DGC - wyszczególnienie </t>
  </si>
  <si>
    <t>Wariant 1 - Projekt</t>
  </si>
  <si>
    <t>zł</t>
  </si>
  <si>
    <t>Koszty eksploatacji</t>
  </si>
  <si>
    <t>zł/rok</t>
  </si>
  <si>
    <t>Efekt projektu</t>
  </si>
  <si>
    <t>Koszt jednostkowy DGC (1+2)/3</t>
  </si>
  <si>
    <t>Wariant 2</t>
  </si>
  <si>
    <t xml:space="preserve">Stopa dyskontowa </t>
  </si>
  <si>
    <t>Część 1: Założenia do analizy finansowej</t>
  </si>
  <si>
    <t>Tabela 1: Założenia makroekonomiczne</t>
  </si>
  <si>
    <t>Tabela 2: Założenia do Studium</t>
  </si>
  <si>
    <t>Założenia do Studium</t>
  </si>
  <si>
    <t>Dynamika realnego wzrostu płac</t>
  </si>
  <si>
    <t>Średnia liczba osób w budynku mieszkalnym</t>
  </si>
  <si>
    <t>Liczba budynków mieszkalnych podłączonych do sieci wodociągowej na terenie ROF (stan na 31.12)</t>
  </si>
  <si>
    <t>Liczba mieszkańców korzystających z sieci wodociągowej na terenie ROF (stan na 31.12)</t>
  </si>
  <si>
    <t>Liczba nieruchomości nie będącymi budynkami mieszkalnymi podłączona do sieci wodociągowej na terenie ROF (stan na 31.12)</t>
  </si>
  <si>
    <t>Liczba budynków mieszkalnych podłączonych do sieci kanalizacyjnej na terenie ROF (stan na 31.12)</t>
  </si>
  <si>
    <t>Liczba mieszkańców korzystających z sieci kanalizacyjnej na terenie ROF (stan na 31.12)</t>
  </si>
  <si>
    <t>Liczba nieruchomości nie będącymi budynkami mieszkalnymi podłączona do sieci kanalizacyjnej na terenie ROF (stan na 31.12)</t>
  </si>
  <si>
    <t>Srednie ilość wody zużywana przez 1 podmiot przemysłowy</t>
  </si>
  <si>
    <t>Średnie zużycie wody na osobę w budynku mieszkalnym (gospodarstwach domowych)</t>
  </si>
  <si>
    <t>Srednie ilość wody zużywana przez 1 podmioty użyteczności publicznej oraz usługowe</t>
  </si>
  <si>
    <t>Średnia ilość wytwarzanych ścieków na osobę w budynku mieszkalnym (gospodarstwach domowych)</t>
  </si>
  <si>
    <t>Liczba podmiotów przemysłowych na terenie ROF korzystających z sieci wodociągowej</t>
  </si>
  <si>
    <t>Liczba podmiotów użyteczności publicznej oraz usługowych na terenie ROF korzystających z sieci wodociągowej</t>
  </si>
  <si>
    <t>Liczba podmiotów przemysłowych na terenie ROF korzystających z sieci kanalizacyjnej</t>
  </si>
  <si>
    <t>Liczba podmiotów użyteczności publicznej oraz usługowych na terenie ROF korzystających z sieci kanalizacyjnych</t>
  </si>
  <si>
    <t>Tabela 3: Założenia do popytu - wariant bezinwestycyjny - woda</t>
  </si>
  <si>
    <t>Tabela 4: Założenia do popytu - wariant bezinwestycyjny - ścieki</t>
  </si>
  <si>
    <t>Tabela 5: Założenia do popytu - wariant inwestycyjny - woda,</t>
  </si>
  <si>
    <t>Tabela 6: Założenia do popytu - wariant inwestycyjny - ścieki</t>
  </si>
  <si>
    <t>Wyszczególnienie kosztów Studium</t>
  </si>
  <si>
    <t>Prace przygotowawcze Studium</t>
  </si>
  <si>
    <t>Prace rozwojowe i modernizacyjne na terenie Miasta i Gminy Boguchwała</t>
  </si>
  <si>
    <t>Prace rozwojowe i modernizacyjne na terenie Gminy Czarna</t>
  </si>
  <si>
    <t>Prace rozwojowe i modernizacyjne na terenie Gminy Krasne</t>
  </si>
  <si>
    <t>Prace rozwojowe i modernizacyjne na terenie Gminy Lubenia</t>
  </si>
  <si>
    <t>Prace rozwojowe i modernizacyjne na terenie Gminy Świlcza</t>
  </si>
  <si>
    <t>Prace rozwojowe i modernizacyjne na terenie Gminy Trzebownisko</t>
  </si>
  <si>
    <t>Prace rozwojowe i modernizacyjne na terenie Gminy Tyczyn</t>
  </si>
  <si>
    <t>Budowa oczyszczalni ścieków wraz z systemem kanalizacji sanitarnej w Przewrotnem, Hucisku i Pogwizdowie Starym</t>
  </si>
  <si>
    <t xml:space="preserve">Dotacja </t>
  </si>
  <si>
    <t>Zużycie energii</t>
  </si>
  <si>
    <t>Wynagrodzenia z narzutami</t>
  </si>
  <si>
    <t>Zużycie materiałów</t>
  </si>
  <si>
    <t>Pozostałe koszty</t>
  </si>
  <si>
    <t>Koszty pośrednie</t>
  </si>
  <si>
    <t>Średnia Cena brutto za uzdatnianie i dostarczanie wody na terenie ROF - wariant bezinwestycyjny</t>
  </si>
  <si>
    <t>Średnia Cena brutto za uzdatnianie i dostarczanie wody na terenie ROF - wariant inwestycyjny</t>
  </si>
  <si>
    <t>http://www.bankier.pl/wiadomosc/Ceny-dzialek-budowlanych-w-Polsce-lipiec-2013-2899080.html</t>
  </si>
  <si>
    <t>Część 2: Obliczenia - analiza finansowa</t>
  </si>
  <si>
    <t>maszyny i urządzenia</t>
  </si>
  <si>
    <t>budynki i budowle</t>
  </si>
  <si>
    <t>pozostałe</t>
  </si>
  <si>
    <t>Stawka amortyzacji zaopatrzenie w wodę</t>
  </si>
  <si>
    <t>Wartość majątku z nakładów odtworzeniowych - zaopatrzenie w wodę</t>
  </si>
  <si>
    <t>Wartość majątku z nakładów odtworzeniowych - odprowadzanie i oczyszczanie ścieków</t>
  </si>
  <si>
    <t>Stawka amortyzacji odprowadzanie i oczyszczanie ścieków</t>
  </si>
  <si>
    <t>Zaopatrzenie w wodę</t>
  </si>
  <si>
    <t xml:space="preserve">maszyny i urządzenia </t>
  </si>
  <si>
    <t>Odprowadzanie i oczyszczanie ścieków</t>
  </si>
  <si>
    <t>Tabela 11: Harmonogram rzeczowo-finansowy Studium - woda</t>
  </si>
  <si>
    <t>Tabela 13: Harmonogram rzeczowo-finansowy Studium - ścieki</t>
  </si>
  <si>
    <t>Tabela 16: Nakłady odtworzeniowe</t>
  </si>
  <si>
    <t>Tabela 17: Kapitał obrotowy</t>
  </si>
  <si>
    <t>Tabela 18: Założenia do analizy ekonomicznej</t>
  </si>
  <si>
    <t>Wartość majątku z inwestycji zaopatrzenie w wodę</t>
  </si>
  <si>
    <t>Wartość majątku z inwestycji odprowadzanie i oczyszczanie ścieków</t>
  </si>
  <si>
    <t>Amortyzacja majątku z inwestycji - zaopatrzenie w wodę</t>
  </si>
  <si>
    <t>Amortyzacja majątku z inwestycji - odprowadzanie i oczyszczanie ścieków</t>
  </si>
  <si>
    <t>Amortyzacja z nakładów odtworzeniowych - zaopatrzenie w wodę</t>
  </si>
  <si>
    <t>Amortyzacja z nakładów odtworzeniowych - odprowadzanie i oczyszczanie ścieków</t>
  </si>
  <si>
    <t>Średnia cena brutto za odprowadzanie i oczyszczanie ścieków na terenie ROF - wariant bezinwestycyjny</t>
  </si>
  <si>
    <t>Dane dotyczące popytu - projekt</t>
  </si>
  <si>
    <t>Średnia cena brutto za odprowadzanie i oczyszczanie ścieków na terenie ROF - wariant inwestycyjny</t>
  </si>
  <si>
    <t>Liczba budynków mieszkalnych podłączonych do sieci wodociągowej</t>
  </si>
  <si>
    <t>Liczba budynków mieszkalnych podłączonych do sieci kanalizacyjnej</t>
  </si>
  <si>
    <t>Tabela 7: Założenia do popytu - wariant Studium - woda,</t>
  </si>
  <si>
    <t>Tabela 8: Założenia do popytu - wariant Studium - ścieki</t>
  </si>
  <si>
    <t>Tabela 9: Założenia do Studium - cena wody</t>
  </si>
  <si>
    <t>Tabela 10: Założenia do Studium - cena ścieków</t>
  </si>
  <si>
    <t>Tabela 12: Koszty kwalifikowane Studium w podziale na lata - woda</t>
  </si>
  <si>
    <t>Tabela 15: Koszty kwalifikowane Studium w podziale na lata - ścieki</t>
  </si>
  <si>
    <t>Wartość rezydualna woda</t>
  </si>
  <si>
    <t>Wartość rezydualna ścieki</t>
  </si>
  <si>
    <t>wytwarzane ścieki [m3/d]</t>
  </si>
  <si>
    <t>wytwarzane ścieki [m3/r]</t>
  </si>
  <si>
    <t>8. Koszty pośrednie</t>
  </si>
  <si>
    <t>2. Wynagrodzenia z narzutami</t>
  </si>
  <si>
    <t>3. Zużycie materiałów</t>
  </si>
  <si>
    <t>4. Zużycie energii</t>
  </si>
  <si>
    <t>5. Podatki i opłaty</t>
  </si>
  <si>
    <t>6. Usługi obce</t>
  </si>
  <si>
    <t>7. Pozostałe koszty</t>
  </si>
  <si>
    <t>Taryfy za dostarczenie 1 m3 ścieków - wariant bezinwestycyjny</t>
  </si>
  <si>
    <t>Taryfy za dostarczenie 1 m3 ścieków - wariant inwestycyjny</t>
  </si>
  <si>
    <t>Wydatki na ścieki / m-c</t>
  </si>
  <si>
    <t>Wydatki na wodę / m-c</t>
  </si>
  <si>
    <t>Dochód do dyspozycji na budynek mieszkalny / m-c</t>
  </si>
  <si>
    <t>Maksymalny poziom opłaty miesięcznej za usługi wodno-ściekowe na osobę w budynku mieszkalnym równy 3% obciążeniu dochodów, w tym</t>
  </si>
  <si>
    <t>Część 3: Obliczenia - analiza ekonomiczna</t>
  </si>
  <si>
    <t>Część 4: Wyniki - przepływy pieniężne, trwałość finansowa projektu</t>
  </si>
  <si>
    <t>Część 5: Wyniki - poziom dofinansowania, wskaźniki finansowe i ekonomiczne</t>
  </si>
  <si>
    <t>a) Koszty kwalifikowane</t>
  </si>
  <si>
    <t>b) Koszty całkowite</t>
  </si>
  <si>
    <t>Część 6: Wyniki - analiza wrażliwości</t>
  </si>
  <si>
    <t>12 osób do obsługi</t>
  </si>
  <si>
    <t xml:space="preserve"> Prace przygotowawcze Studium - Studia Wykonalności </t>
  </si>
  <si>
    <t>Prace przygotowawcze Studium - Dokumentacje projektowe</t>
  </si>
  <si>
    <t>Srednie ilość ścieków wytwarzanych przez 1 podmiot przemysłowy</t>
  </si>
  <si>
    <t>na 1 km sieci</t>
  </si>
  <si>
    <t xml:space="preserve">na 1 m3 </t>
  </si>
  <si>
    <t>Podmioty przemysłowe</t>
  </si>
  <si>
    <t>Podmioty usługowe i użyteczności publicznej</t>
  </si>
  <si>
    <t>Wartości zdyskontowane</t>
  </si>
  <si>
    <t>Wdrożenie systemu GIS dla potrzeb gospodarki wodno-ściekowej ROF</t>
  </si>
  <si>
    <t>Budowa i wdrożenie modelu hydraulicznego (zarządzanie ciśnieniem, strefowanie, optymalizacja układu sieci wodociągowej) na terenie ROF</t>
  </si>
  <si>
    <r>
      <t>Dotacja do ceny 1 m</t>
    </r>
    <r>
      <rPr>
        <vertAlign val="superscript"/>
        <sz val="9"/>
        <rFont val="Arial Narrow"/>
        <family val="2"/>
        <charset val="238"/>
      </rPr>
      <t>3</t>
    </r>
    <r>
      <rPr>
        <sz val="9"/>
        <rFont val="Arial Narrow"/>
        <family val="2"/>
        <charset val="238"/>
      </rPr>
      <t xml:space="preserve"> wody</t>
    </r>
  </si>
  <si>
    <r>
      <t>Dopłata do ceny 1m</t>
    </r>
    <r>
      <rPr>
        <vertAlign val="superscript"/>
        <sz val="9"/>
        <rFont val="Arial Narrow"/>
        <family val="2"/>
        <charset val="238"/>
      </rPr>
      <t>3</t>
    </r>
    <r>
      <rPr>
        <sz val="9"/>
        <rFont val="Arial Narrow"/>
        <family val="2"/>
        <charset val="238"/>
      </rPr>
      <t xml:space="preserve"> ścieków</t>
    </r>
  </si>
  <si>
    <r>
      <t>m</t>
    </r>
    <r>
      <rPr>
        <vertAlign val="superscript"/>
        <sz val="9"/>
        <rFont val="Arial Narrow"/>
        <family val="2"/>
        <charset val="238"/>
      </rPr>
      <t>3</t>
    </r>
    <r>
      <rPr>
        <sz val="9"/>
        <rFont val="Arial Narrow"/>
        <family val="2"/>
        <charset val="238"/>
      </rPr>
      <t>/rok</t>
    </r>
  </si>
  <si>
    <r>
      <t>zł/m</t>
    </r>
    <r>
      <rPr>
        <b/>
        <vertAlign val="superscript"/>
        <sz val="9"/>
        <rFont val="Arial Narrow"/>
        <family val="2"/>
        <charset val="238"/>
      </rPr>
      <t>3</t>
    </r>
  </si>
  <si>
    <t xml:space="preserve">Rok </t>
  </si>
  <si>
    <t>Woda</t>
  </si>
  <si>
    <t>Ścieki</t>
  </si>
  <si>
    <t>GD</t>
  </si>
  <si>
    <t>P</t>
  </si>
  <si>
    <t>UiUP</t>
  </si>
  <si>
    <t>Srednie ilość wody zużywana przez 1 podmiot użyteczności publicznej lub usługowy</t>
  </si>
  <si>
    <t>RAZEM</t>
  </si>
  <si>
    <t>Rok</t>
  </si>
  <si>
    <t>Pobór wody</t>
  </si>
  <si>
    <t>Produkcja Wody</t>
  </si>
  <si>
    <t>Strata Wody</t>
  </si>
  <si>
    <t>Sprzedaż Wody</t>
  </si>
  <si>
    <t>Woda Technologiczna</t>
  </si>
  <si>
    <t>Strata %</t>
  </si>
  <si>
    <t>Odbiór ścieków</t>
  </si>
  <si>
    <t>Wody infiltracyjne i opadowe</t>
  </si>
  <si>
    <t>Ścieki Dopływające</t>
  </si>
  <si>
    <t>% Udział wód opadowych i infiltracyjnych</t>
  </si>
  <si>
    <t>Uporządkowanie gospodarki wodnej w gminach ROF, jako element rozwoju gospodarki wodno-ściekowej w regionie - Gminy Lubenia (lider projektu), Czudec, Tyczyn oraz Chmielnik</t>
  </si>
  <si>
    <t>Koncepcja uporządkowania gospodarki wodno-ściekowej dla  Miasta Łańcut</t>
  </si>
  <si>
    <t>Budowa dodatkowego ujęcia wody i SUW na terenie Gminy Chmielnik</t>
  </si>
  <si>
    <t>Rozbudowa oczyszczalni mechaniczno-biologicznej w Chmielniku</t>
  </si>
  <si>
    <t>Budowa sieci wodociągowej do oczyszczalni w Przewrotnem</t>
  </si>
  <si>
    <t>Budowa układu pierścieniowego sieci wodociągowej na terenie gminy Głogów Małopolski</t>
  </si>
  <si>
    <t>Należności</t>
  </si>
  <si>
    <t>Koncepcja uporządkowania gospodarki wodno-ściekowej w Gminie Czudec</t>
  </si>
  <si>
    <t>Tabela 19: Kalkulacja amortyzacji/odpisów umorzeniowych</t>
  </si>
  <si>
    <t>Tabela 20: Kalkulacja popytu dla wariantu bezinwestycyjnego - bilans wody</t>
  </si>
  <si>
    <t>Tabela 21: Kalkulacja popytu dla wariantu bezinwestycyjnego - bilans ścieków</t>
  </si>
  <si>
    <t>Tabela 22: Kalkulacja popytu dla wariantu inwestycyjnego - bilans wody</t>
  </si>
  <si>
    <t>Tabela 23: Kalkulacja popytu dla wariantu inwestycyjnego - bilans ścieków</t>
  </si>
  <si>
    <t>Tabela 24: Kalkulacja popytu dla Studium - bilans wody</t>
  </si>
  <si>
    <t>Tabela 25: Kalkulacja popytu dla Studium - bilans ścieków</t>
  </si>
  <si>
    <t>Tabela 26: Kalkulacja kosztów operacyjnych dla wariantu bezinwestycyjnego - woda</t>
  </si>
  <si>
    <t>Tabela 27: Kalkulacja kosztów operacyjnych dla wariantu bezinwestycyjnego - ścieki</t>
  </si>
  <si>
    <t>Tabela 28: Kalkulacja kosztów operacyjnych dla wariantu inwestycyjnego - woda</t>
  </si>
  <si>
    <t>Tabela 29: Kalkulacja kosztów operacyjnych dla wariantu inwestycyjnego - ścieki</t>
  </si>
  <si>
    <t>Tabela 30: Kalkulacja kosztów operacyjnych dla Studium - woda</t>
  </si>
  <si>
    <t>Tabela 31: Kalkulacja kosztów operacyjnych dla Studium - ścieki</t>
  </si>
  <si>
    <t>Tabela 32: Wyznaczenie taryf (brutto) - woda</t>
  </si>
  <si>
    <t>Tabela 33: Wyznaczenie taryf (brutto) - ścieki</t>
  </si>
  <si>
    <t>Tabela 34: Obciążenie gospodarstw domowych - wariant inwestycyjny</t>
  </si>
  <si>
    <t>Tabela 35: Kalkulacja przychodów ze sprzedaży dla projektu</t>
  </si>
  <si>
    <t>Tabela 36: Obliczenia - analiza ekonomiczna</t>
  </si>
  <si>
    <t xml:space="preserve">Tabela 37: Rachunek wyników i przepływów pieniężnych </t>
  </si>
  <si>
    <t xml:space="preserve">Tabela 38: Przepływy pienieżne </t>
  </si>
  <si>
    <t>Tabela 39: Określenie poziomu dofinansowania</t>
  </si>
  <si>
    <t>Tabela 40: Źródła finansowania projektu</t>
  </si>
  <si>
    <t>Tabela 41: Wskaźniki rentowności</t>
  </si>
  <si>
    <t>Tabela 42: Wskaźniki analizy ekonomicznej ENPV i EIRR</t>
  </si>
  <si>
    <t>Tabela 43: Analiza wrażliwości - analiza finansowa</t>
  </si>
  <si>
    <t>Tabela 44: Analiza DGC Szuszarnie Solarne - Kompostownie</t>
  </si>
  <si>
    <t>Rozbudowa monitoringu sieci kanalizacyjnej na terenie ROF (strefowanie zlewni)</t>
  </si>
  <si>
    <t>Rozdzielenie kanalizacji sanitarnej i deszczowej na terenie Głogowa Małopolskiego</t>
  </si>
  <si>
    <t>Różnica</t>
  </si>
  <si>
    <t>Dynamika</t>
  </si>
  <si>
    <t>Budowa dwóch nowych ujęć głębinowych wody, rozbudowa i budowa sieci wodociągowej w układzie pierścieniowym wraz ze zbiornikami wyrównawczymi dla Miasta i Gminy Boguchwała</t>
  </si>
  <si>
    <t>Modernizacja oczyszczalni ścieków w Rzeszowie</t>
  </si>
  <si>
    <t>Utworzenie Centrum Rozliczeniowego w Tyczynie - utworzenie e-BOK dla klientów Eko-Strug Sp. z o.o. w Tyczynie (lider projektu) oraz klientów z terenu gmin Chmielnik, Czarna, Czudec, Krasne, Głogów Małopolski, Lubenia, Łańcut (gmina wiejska)</t>
  </si>
  <si>
    <t>Budowa 5 suszarni osadów dla oczyszczalni w: Czarnej, Przedmieściu Czudeckim, Siedliskach oraz oczyszczalniach na terenie Gminy Trzebownisko</t>
  </si>
  <si>
    <t>Prace rozwojowe i modernizacyjne na terenie Gminy Łańcut</t>
  </si>
  <si>
    <t xml:space="preserve">Tabela 46: Analiza DGC dla inwestycji na sieci wodociągowej lub kanalizacyjnej przy użycie rur PE lub rur żeliwnych </t>
  </si>
  <si>
    <t>Tabela 47: Analiza DGC dla inwestycji - budowa oczyszczalni ścieków w Boguchwale</t>
  </si>
  <si>
    <t>Prace rozwojowe i modernizacyjne na terenie Gminy Krasne oraz renowacja ujęć wody na terenie Gminy Krasne oraz odwiert nowych studni</t>
  </si>
  <si>
    <t>Prace rozwojowe i modernizacyjne na terenie Gminy Świlcza, w tym budowa kolektora przesyłowego z Oczyszczalni Ścieków w Kamyszynie do kolektora w Rzeszowie-Dworzysku</t>
  </si>
  <si>
    <t>Tabela 45: Analiza DGC Krasne przepięcie do Rzeszowa</t>
  </si>
  <si>
    <t>Wariant 3</t>
  </si>
  <si>
    <t>Wariant 4</t>
  </si>
  <si>
    <t>Budowa kolektora kanalizacji sanitarnej łączącego oczyszczalnie ścieków w Krasnem z systemem MPWiK Sp. z o.o. w Rzeszowie w celu przekazywanie nadmiernej ilości ścieków surowych.</t>
  </si>
  <si>
    <t>Tabela 48: Analiza DGC dla inwestycji - modernizacja oczyszczalni ścieków w Rzeszowie</t>
  </si>
  <si>
    <t>Przebudowa sieci wodociągowej na terenie Gminy Boguchwała należącej do MPWiK w Rzeszowie”</t>
  </si>
  <si>
    <t>Program rozwoju sieci wodociągowej dla miasta Rzeszowa</t>
  </si>
  <si>
    <t>Program rozwoju sieci kanalizacji sanitarnej dla miasta Rzeszowa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</si>
</sst>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_-* #,##0\ _z_ł_-;\-* #,##0\ _z_ł_-;_-* &quot;-&quot;??\ _z_ł_-;_-@_-"/>
    <numFmt numFmtId="166" formatCode="0.0%"/>
    <numFmt numFmtId="167" formatCode="#,##0.0"/>
    <numFmt numFmtId="168" formatCode="_-* #,##0.00_-;_-* #,##0.00\-;_-* &quot;-&quot;??_-;_-@_-"/>
    <numFmt numFmtId="169" formatCode="_(* #,##0_);_(* \(#,##0\);_(* &quot;-&quot;??_);_(@_)"/>
    <numFmt numFmtId="170" formatCode="_-* #,##0.00\ [$€-1]_-;\-* #,##0.00\ [$€-1]_-;_-* &quot;-&quot;??\ [$€-1]_-"/>
    <numFmt numFmtId="171" formatCode="#,##0.0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20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i/>
      <u/>
      <sz val="9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9"/>
      <color indexed="9"/>
      <name val="Arial Narrow"/>
      <family val="2"/>
      <charset val="238"/>
    </font>
    <font>
      <sz val="11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</cellStyleXfs>
  <cellXfs count="490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6" fillId="0" borderId="1" xfId="0" applyNumberFormat="1" applyFont="1" applyBorder="1"/>
    <xf numFmtId="0" fontId="7" fillId="0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6" fillId="5" borderId="29" xfId="0" applyNumberFormat="1" applyFont="1" applyFill="1" applyBorder="1" applyAlignment="1">
      <alignment wrapText="1"/>
    </xf>
    <xf numFmtId="164" fontId="6" fillId="0" borderId="32" xfId="0" applyNumberFormat="1" applyFont="1" applyFill="1" applyBorder="1" applyAlignment="1">
      <alignment horizontal="right" vertical="center"/>
    </xf>
    <xf numFmtId="164" fontId="6" fillId="2" borderId="29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horizontal="right" vertical="center"/>
    </xf>
    <xf numFmtId="0" fontId="10" fillId="5" borderId="34" xfId="0" applyFont="1" applyFill="1" applyBorder="1" applyAlignment="1">
      <alignment horizontal="right"/>
    </xf>
    <xf numFmtId="164" fontId="10" fillId="0" borderId="33" xfId="0" applyNumberFormat="1" applyFont="1" applyFill="1" applyBorder="1" applyAlignment="1">
      <alignment horizontal="right" vertical="center"/>
    </xf>
    <xf numFmtId="164" fontId="10" fillId="0" borderId="34" xfId="0" applyNumberFormat="1" applyFont="1" applyFill="1" applyBorder="1" applyAlignment="1">
      <alignment horizontal="right" vertical="center"/>
    </xf>
    <xf numFmtId="49" fontId="6" fillId="5" borderId="34" xfId="0" applyNumberFormat="1" applyFont="1" applyFill="1" applyBorder="1" applyAlignment="1">
      <alignment wrapText="1"/>
    </xf>
    <xf numFmtId="164" fontId="6" fillId="0" borderId="33" xfId="0" applyNumberFormat="1" applyFont="1" applyFill="1" applyBorder="1" applyAlignment="1">
      <alignment horizontal="right" vertical="center"/>
    </xf>
    <xf numFmtId="164" fontId="6" fillId="2" borderId="34" xfId="0" applyNumberFormat="1" applyFont="1" applyFill="1" applyBorder="1" applyAlignment="1">
      <alignment horizontal="right" vertical="center"/>
    </xf>
    <xf numFmtId="164" fontId="6" fillId="0" borderId="34" xfId="0" applyNumberFormat="1" applyFont="1" applyFill="1" applyBorder="1" applyAlignment="1">
      <alignment horizontal="right" vertical="center"/>
    </xf>
    <xf numFmtId="164" fontId="10" fillId="2" borderId="34" xfId="0" applyNumberFormat="1" applyFont="1" applyFill="1" applyBorder="1" applyAlignment="1">
      <alignment horizontal="right" vertical="center"/>
    </xf>
    <xf numFmtId="0" fontId="6" fillId="5" borderId="34" xfId="0" applyFont="1" applyFill="1" applyBorder="1" applyAlignment="1">
      <alignment wrapText="1"/>
    </xf>
    <xf numFmtId="0" fontId="10" fillId="5" borderId="30" xfId="0" applyFont="1" applyFill="1" applyBorder="1" applyAlignment="1">
      <alignment horizontal="right"/>
    </xf>
    <xf numFmtId="164" fontId="10" fillId="0" borderId="31" xfId="0" applyNumberFormat="1" applyFont="1" applyFill="1" applyBorder="1" applyAlignment="1">
      <alignment horizontal="right" vertical="center"/>
    </xf>
    <xf numFmtId="164" fontId="10" fillId="0" borderId="30" xfId="0" applyNumberFormat="1" applyFont="1" applyFill="1" applyBorder="1" applyAlignment="1">
      <alignment horizontal="right" vertical="center"/>
    </xf>
    <xf numFmtId="164" fontId="10" fillId="2" borderId="30" xfId="0" applyNumberFormat="1" applyFont="1" applyFill="1" applyBorder="1" applyAlignment="1">
      <alignment horizontal="right" vertical="center"/>
    </xf>
    <xf numFmtId="0" fontId="6" fillId="5" borderId="35" xfId="0" applyFont="1" applyFill="1" applyBorder="1"/>
    <xf numFmtId="4" fontId="6" fillId="5" borderId="35" xfId="0" applyNumberFormat="1" applyFont="1" applyFill="1" applyBorder="1" applyAlignment="1">
      <alignment horizontal="center"/>
    </xf>
    <xf numFmtId="4" fontId="7" fillId="5" borderId="34" xfId="0" applyNumberFormat="1" applyFont="1" applyFill="1" applyBorder="1" applyAlignment="1">
      <alignment horizontal="center"/>
    </xf>
    <xf numFmtId="4" fontId="6" fillId="5" borderId="34" xfId="0" applyNumberFormat="1" applyFont="1" applyFill="1" applyBorder="1" applyAlignment="1">
      <alignment horizontal="center"/>
    </xf>
    <xf numFmtId="0" fontId="6" fillId="5" borderId="36" xfId="0" applyFont="1" applyFill="1" applyBorder="1"/>
    <xf numFmtId="4" fontId="6" fillId="5" borderId="36" xfId="0" applyNumberFormat="1" applyFont="1" applyFill="1" applyBorder="1" applyAlignment="1">
      <alignment horizontal="center"/>
    </xf>
    <xf numFmtId="0" fontId="11" fillId="5" borderId="29" xfId="0" applyFont="1" applyFill="1" applyBorder="1"/>
    <xf numFmtId="0" fontId="11" fillId="5" borderId="36" xfId="0" applyFont="1" applyFill="1" applyBorder="1"/>
    <xf numFmtId="4" fontId="11" fillId="5" borderId="34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justify" vertical="top" wrapText="1"/>
    </xf>
    <xf numFmtId="4" fontId="7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/>
    <xf numFmtId="4" fontId="7" fillId="0" borderId="1" xfId="0" applyNumberFormat="1" applyFont="1" applyFill="1" applyBorder="1"/>
    <xf numFmtId="4" fontId="6" fillId="0" borderId="1" xfId="0" applyNumberFormat="1" applyFont="1" applyFill="1" applyBorder="1"/>
    <xf numFmtId="0" fontId="7" fillId="0" borderId="1" xfId="0" applyFont="1" applyFill="1" applyBorder="1"/>
    <xf numFmtId="0" fontId="10" fillId="5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8" xfId="0" applyFont="1" applyFill="1" applyBorder="1" applyAlignment="1">
      <alignment horizontal="justify" vertical="top" wrapText="1"/>
    </xf>
    <xf numFmtId="4" fontId="7" fillId="0" borderId="1" xfId="0" applyNumberFormat="1" applyFont="1" applyBorder="1"/>
    <xf numFmtId="4" fontId="6" fillId="0" borderId="1" xfId="0" applyNumberFormat="1" applyFont="1" applyBorder="1"/>
    <xf numFmtId="0" fontId="7" fillId="0" borderId="28" xfId="0" applyFont="1" applyFill="1" applyBorder="1" applyAlignment="1">
      <alignment horizontal="center"/>
    </xf>
    <xf numFmtId="4" fontId="7" fillId="0" borderId="28" xfId="0" applyNumberFormat="1" applyFont="1" applyFill="1" applyBorder="1"/>
    <xf numFmtId="4" fontId="6" fillId="0" borderId="28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4" fontId="9" fillId="0" borderId="0" xfId="0" applyNumberFormat="1" applyFont="1" applyFill="1" applyBorder="1"/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4" fontId="7" fillId="0" borderId="0" xfId="0" applyNumberFormat="1" applyFont="1" applyFill="1" applyBorder="1"/>
    <xf numFmtId="0" fontId="8" fillId="0" borderId="0" xfId="0" applyFont="1"/>
    <xf numFmtId="164" fontId="7" fillId="0" borderId="33" xfId="0" applyNumberFormat="1" applyFont="1" applyFill="1" applyBorder="1" applyAlignment="1">
      <alignment horizontal="right" vertical="center"/>
    </xf>
    <xf numFmtId="164" fontId="7" fillId="0" borderId="34" xfId="0" applyNumberFormat="1" applyFont="1" applyFill="1" applyBorder="1" applyAlignment="1">
      <alignment horizontal="right" vertical="center"/>
    </xf>
    <xf numFmtId="164" fontId="7" fillId="2" borderId="34" xfId="0" applyNumberFormat="1" applyFont="1" applyFill="1" applyBorder="1" applyAlignment="1">
      <alignment horizontal="right" vertical="center"/>
    </xf>
    <xf numFmtId="0" fontId="12" fillId="0" borderId="0" xfId="0" applyFont="1"/>
    <xf numFmtId="164" fontId="7" fillId="0" borderId="31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right" vertical="center"/>
    </xf>
    <xf numFmtId="164" fontId="7" fillId="2" borderId="30" xfId="0" applyNumberFormat="1" applyFont="1" applyFill="1" applyBorder="1" applyAlignment="1">
      <alignment horizontal="right" vertical="center"/>
    </xf>
    <xf numFmtId="0" fontId="6" fillId="5" borderId="34" xfId="0" applyFont="1" applyFill="1" applyBorder="1"/>
    <xf numFmtId="0" fontId="11" fillId="5" borderId="34" xfId="0" applyFont="1" applyFill="1" applyBorder="1"/>
    <xf numFmtId="4" fontId="11" fillId="5" borderId="36" xfId="0" applyNumberFormat="1" applyFont="1" applyFill="1" applyBorder="1" applyAlignment="1">
      <alignment horizontal="center"/>
    </xf>
    <xf numFmtId="0" fontId="6" fillId="0" borderId="0" xfId="0" applyFont="1"/>
    <xf numFmtId="0" fontId="10" fillId="0" borderId="0" xfId="0" applyFont="1"/>
    <xf numFmtId="4" fontId="9" fillId="0" borderId="0" xfId="0" applyNumberFormat="1" applyFont="1" applyBorder="1"/>
    <xf numFmtId="0" fontId="9" fillId="0" borderId="0" xfId="0" applyFont="1" applyBorder="1"/>
    <xf numFmtId="164" fontId="7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/>
    <xf numFmtId="4" fontId="9" fillId="0" borderId="0" xfId="0" applyNumberFormat="1" applyFont="1"/>
    <xf numFmtId="2" fontId="9" fillId="0" borderId="0" xfId="0" applyNumberFormat="1" applyFont="1"/>
    <xf numFmtId="10" fontId="9" fillId="0" borderId="0" xfId="2" applyNumberFormat="1" applyFont="1"/>
    <xf numFmtId="4" fontId="8" fillId="0" borderId="0" xfId="0" applyNumberFormat="1" applyFont="1"/>
    <xf numFmtId="0" fontId="8" fillId="0" borderId="0" xfId="0" applyFont="1" applyBorder="1" applyAlignment="1">
      <alignment horizontal="center"/>
    </xf>
    <xf numFmtId="164" fontId="9" fillId="0" borderId="0" xfId="0" applyNumberFormat="1" applyFont="1"/>
    <xf numFmtId="4" fontId="7" fillId="0" borderId="0" xfId="0" applyNumberFormat="1" applyFont="1" applyBorder="1"/>
    <xf numFmtId="0" fontId="7" fillId="0" borderId="0" xfId="0" applyFont="1" applyBorder="1"/>
    <xf numFmtId="164" fontId="7" fillId="0" borderId="0" xfId="0" applyNumberFormat="1" applyFont="1" applyBorder="1"/>
    <xf numFmtId="4" fontId="7" fillId="0" borderId="0" xfId="0" applyNumberFormat="1" applyFont="1"/>
    <xf numFmtId="2" fontId="7" fillId="0" borderId="0" xfId="0" applyNumberFormat="1" applyFont="1"/>
    <xf numFmtId="10" fontId="7" fillId="0" borderId="0" xfId="2" applyNumberFormat="1" applyFont="1"/>
    <xf numFmtId="4" fontId="6" fillId="0" borderId="0" xfId="0" applyNumberFormat="1" applyFont="1"/>
    <xf numFmtId="0" fontId="6" fillId="0" borderId="0" xfId="0" applyFont="1" applyBorder="1" applyAlignment="1">
      <alignment horizontal="center"/>
    </xf>
    <xf numFmtId="164" fontId="7" fillId="0" borderId="0" xfId="0" applyNumberFormat="1" applyFont="1"/>
    <xf numFmtId="0" fontId="10" fillId="0" borderId="1" xfId="0" applyFont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3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165" fontId="7" fillId="0" borderId="1" xfId="1" applyNumberFormat="1" applyFont="1" applyBorder="1" applyAlignment="1">
      <alignment wrapText="1"/>
    </xf>
    <xf numFmtId="3" fontId="7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43" fontId="7" fillId="0" borderId="1" xfId="1" applyFont="1" applyBorder="1"/>
    <xf numFmtId="43" fontId="6" fillId="0" borderId="1" xfId="1" applyFont="1" applyBorder="1"/>
    <xf numFmtId="165" fontId="7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1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5" borderId="1" xfId="0" applyFont="1" applyFill="1" applyBorder="1" applyAlignment="1">
      <alignment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0" fontId="6" fillId="0" borderId="1" xfId="2" applyNumberFormat="1" applyFont="1" applyBorder="1" applyAlignment="1">
      <alignment vertical="center"/>
    </xf>
    <xf numFmtId="10" fontId="7" fillId="0" borderId="1" xfId="2" applyNumberFormat="1" applyFont="1" applyBorder="1" applyAlignment="1">
      <alignment vertical="center"/>
    </xf>
    <xf numFmtId="3" fontId="7" fillId="3" borderId="1" xfId="0" applyNumberFormat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right" vertical="center" wrapText="1"/>
    </xf>
    <xf numFmtId="10" fontId="7" fillId="3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wrapText="1"/>
    </xf>
    <xf numFmtId="43" fontId="7" fillId="0" borderId="1" xfId="0" applyNumberFormat="1" applyFont="1" applyBorder="1" applyAlignment="1">
      <alignment horizontal="right"/>
    </xf>
    <xf numFmtId="0" fontId="6" fillId="5" borderId="1" xfId="0" applyFont="1" applyFill="1" applyBorder="1" applyAlignment="1">
      <alignment vertical="center" wrapText="1"/>
    </xf>
    <xf numFmtId="1" fontId="6" fillId="5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0" xfId="0" applyFont="1" applyFill="1" applyBorder="1"/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0" xfId="0" applyNumberFormat="1" applyFont="1" applyFill="1" applyAlignment="1">
      <alignment vertic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" fontId="10" fillId="0" borderId="3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10" fontId="12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" fontId="6" fillId="5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readingOrder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0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/>
    <xf numFmtId="3" fontId="8" fillId="0" borderId="0" xfId="0" applyNumberFormat="1" applyFont="1" applyBorder="1"/>
    <xf numFmtId="0" fontId="9" fillId="0" borderId="0" xfId="0" applyFont="1" applyBorder="1" applyAlignment="1">
      <alignment horizontal="justify" vertical="top" wrapText="1"/>
    </xf>
    <xf numFmtId="4" fontId="8" fillId="0" borderId="0" xfId="0" applyNumberFormat="1" applyFont="1" applyBorder="1"/>
    <xf numFmtId="4" fontId="9" fillId="0" borderId="0" xfId="0" applyNumberFormat="1" applyFont="1" applyBorder="1" applyAlignment="1">
      <alignment horizontal="right"/>
    </xf>
    <xf numFmtId="2" fontId="8" fillId="0" borderId="0" xfId="0" applyNumberFormat="1" applyFont="1"/>
    <xf numFmtId="0" fontId="6" fillId="0" borderId="0" xfId="0" applyFont="1" applyBorder="1"/>
    <xf numFmtId="165" fontId="6" fillId="0" borderId="0" xfId="1" applyNumberFormat="1" applyFont="1" applyBorder="1"/>
    <xf numFmtId="0" fontId="7" fillId="0" borderId="0" xfId="0" applyFont="1" applyBorder="1" applyAlignment="1">
      <alignment vertical="center"/>
    </xf>
    <xf numFmtId="165" fontId="8" fillId="0" borderId="0" xfId="1" applyNumberFormat="1" applyFont="1" applyBorder="1" applyAlignment="1"/>
    <xf numFmtId="0" fontId="17" fillId="0" borderId="0" xfId="0" applyFont="1" applyFill="1" applyBorder="1"/>
    <xf numFmtId="0" fontId="18" fillId="0" borderId="0" xfId="0" applyFont="1"/>
    <xf numFmtId="3" fontId="1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readingOrder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right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3" fontId="6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left" wrapText="1"/>
    </xf>
    <xf numFmtId="4" fontId="10" fillId="0" borderId="1" xfId="0" quotePrefix="1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wrapText="1"/>
    </xf>
    <xf numFmtId="3" fontId="10" fillId="0" borderId="1" xfId="0" applyNumberFormat="1" applyFont="1" applyFill="1" applyBorder="1"/>
    <xf numFmtId="3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6" fillId="0" borderId="1" xfId="0" applyFont="1" applyFill="1" applyBorder="1"/>
    <xf numFmtId="3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43" fontId="9" fillId="0" borderId="0" xfId="0" applyNumberFormat="1" applyFont="1"/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3" fontId="6" fillId="4" borderId="1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7" fontId="7" fillId="0" borderId="0" xfId="0" quotePrefix="1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0" fontId="6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9" fontId="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 readingOrder="1"/>
    </xf>
    <xf numFmtId="0" fontId="7" fillId="0" borderId="4" xfId="0" applyFont="1" applyBorder="1"/>
    <xf numFmtId="9" fontId="7" fillId="0" borderId="4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left" vertical="center" readingOrder="1"/>
    </xf>
    <xf numFmtId="3" fontId="9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3" fontId="7" fillId="0" borderId="0" xfId="0" applyNumberFormat="1" applyFont="1"/>
    <xf numFmtId="0" fontId="7" fillId="0" borderId="1" xfId="0" applyFont="1" applyFill="1" applyBorder="1" applyAlignment="1">
      <alignment horizontal="right" wrapText="1"/>
    </xf>
    <xf numFmtId="166" fontId="7" fillId="0" borderId="1" xfId="2" applyNumberFormat="1" applyFont="1" applyFill="1" applyBorder="1" applyAlignment="1">
      <alignment horizontal="center" wrapText="1"/>
    </xf>
    <xf numFmtId="0" fontId="21" fillId="0" borderId="0" xfId="0" applyFont="1"/>
    <xf numFmtId="10" fontId="6" fillId="0" borderId="1" xfId="2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166" fontId="7" fillId="0" borderId="0" xfId="2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right" wrapText="1"/>
    </xf>
    <xf numFmtId="3" fontId="7" fillId="0" borderId="7" xfId="0" applyNumberFormat="1" applyFont="1" applyFill="1" applyBorder="1"/>
    <xf numFmtId="3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 wrapText="1" indent="1"/>
    </xf>
    <xf numFmtId="3" fontId="7" fillId="0" borderId="0" xfId="0" applyNumberFormat="1" applyFont="1" applyBorder="1"/>
    <xf numFmtId="0" fontId="22" fillId="0" borderId="0" xfId="0" applyFont="1" applyFill="1"/>
    <xf numFmtId="0" fontId="22" fillId="0" borderId="0" xfId="0" applyFont="1" applyFill="1" applyBorder="1"/>
    <xf numFmtId="0" fontId="6" fillId="0" borderId="0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10" fontId="6" fillId="0" borderId="1" xfId="2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vertical="top" wrapText="1"/>
    </xf>
    <xf numFmtId="4" fontId="7" fillId="5" borderId="1" xfId="0" applyNumberFormat="1" applyFont="1" applyFill="1" applyBorder="1" applyAlignment="1">
      <alignment vertical="top" wrapText="1"/>
    </xf>
    <xf numFmtId="167" fontId="7" fillId="5" borderId="1" xfId="0" quotePrefix="1" applyNumberFormat="1" applyFont="1" applyFill="1" applyBorder="1" applyAlignment="1">
      <alignment vertical="top" wrapText="1"/>
    </xf>
    <xf numFmtId="0" fontId="7" fillId="5" borderId="0" xfId="0" applyFont="1" applyFill="1"/>
    <xf numFmtId="3" fontId="7" fillId="5" borderId="1" xfId="0" applyNumberFormat="1" applyFont="1" applyFill="1" applyBorder="1"/>
    <xf numFmtId="4" fontId="7" fillId="5" borderId="1" xfId="0" applyNumberFormat="1" applyFont="1" applyFill="1" applyBorder="1"/>
    <xf numFmtId="0" fontId="7" fillId="5" borderId="1" xfId="0" applyFont="1" applyFill="1" applyBorder="1"/>
    <xf numFmtId="166" fontId="6" fillId="5" borderId="5" xfId="2" applyNumberFormat="1" applyFont="1" applyFill="1" applyBorder="1" applyAlignment="1">
      <alignment horizontal="center" wrapText="1"/>
    </xf>
    <xf numFmtId="166" fontId="6" fillId="5" borderId="1" xfId="2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right" wrapText="1"/>
    </xf>
    <xf numFmtId="3" fontId="7" fillId="5" borderId="1" xfId="0" applyNumberFormat="1" applyFont="1" applyFill="1" applyBorder="1" applyAlignment="1">
      <alignment wrapText="1"/>
    </xf>
    <xf numFmtId="166" fontId="7" fillId="5" borderId="1" xfId="2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 wrapText="1"/>
    </xf>
    <xf numFmtId="0" fontId="6" fillId="5" borderId="4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/>
    </xf>
    <xf numFmtId="10" fontId="7" fillId="0" borderId="0" xfId="2" applyNumberFormat="1" applyFont="1" applyAlignment="1">
      <alignment vertical="center"/>
    </xf>
    <xf numFmtId="1" fontId="7" fillId="0" borderId="0" xfId="0" applyNumberFormat="1" applyFont="1"/>
    <xf numFmtId="166" fontId="7" fillId="0" borderId="0" xfId="2" applyNumberFormat="1" applyFont="1"/>
    <xf numFmtId="3" fontId="7" fillId="0" borderId="0" xfId="0" applyNumberFormat="1" applyFont="1" applyAlignment="1">
      <alignment wrapText="1"/>
    </xf>
    <xf numFmtId="166" fontId="7" fillId="0" borderId="0" xfId="2" applyNumberFormat="1" applyFont="1" applyAlignment="1">
      <alignment wrapText="1"/>
    </xf>
    <xf numFmtId="3" fontId="7" fillId="0" borderId="0" xfId="2" applyNumberFormat="1" applyFont="1"/>
    <xf numFmtId="0" fontId="24" fillId="0" borderId="0" xfId="0" applyFont="1" applyAlignment="1">
      <alignment horizontal="left" vertical="center" readingOrder="1"/>
    </xf>
    <xf numFmtId="0" fontId="6" fillId="5" borderId="9" xfId="3" applyFont="1" applyFill="1" applyBorder="1"/>
    <xf numFmtId="0" fontId="6" fillId="5" borderId="10" xfId="3" applyFont="1" applyFill="1" applyBorder="1"/>
    <xf numFmtId="0" fontId="7" fillId="5" borderId="11" xfId="3" applyFont="1" applyFill="1" applyBorder="1"/>
    <xf numFmtId="0" fontId="7" fillId="0" borderId="0" xfId="3" applyFont="1" applyFill="1"/>
    <xf numFmtId="3" fontId="7" fillId="0" borderId="0" xfId="3" applyNumberFormat="1" applyFont="1" applyFill="1"/>
    <xf numFmtId="9" fontId="7" fillId="0" borderId="14" xfId="3" applyNumberFormat="1" applyFont="1" applyFill="1" applyBorder="1"/>
    <xf numFmtId="9" fontId="7" fillId="0" borderId="16" xfId="3" applyNumberFormat="1" applyFont="1" applyFill="1" applyBorder="1"/>
    <xf numFmtId="9" fontId="7" fillId="0" borderId="19" xfId="3" applyNumberFormat="1" applyFont="1" applyFill="1" applyBorder="1"/>
    <xf numFmtId="0" fontId="6" fillId="5" borderId="11" xfId="3" applyFont="1" applyFill="1" applyBorder="1" applyAlignment="1">
      <alignment horizontal="right"/>
    </xf>
    <xf numFmtId="169" fontId="6" fillId="5" borderId="11" xfId="4" applyNumberFormat="1" applyFont="1" applyFill="1" applyBorder="1" applyAlignment="1">
      <alignment horizontal="right"/>
    </xf>
    <xf numFmtId="0" fontId="6" fillId="0" borderId="12" xfId="3" applyFont="1" applyFill="1" applyBorder="1"/>
    <xf numFmtId="3" fontId="6" fillId="0" borderId="4" xfId="3" applyNumberFormat="1" applyFont="1" applyFill="1" applyBorder="1"/>
    <xf numFmtId="3" fontId="6" fillId="0" borderId="14" xfId="3" applyNumberFormat="1" applyFont="1" applyFill="1" applyBorder="1"/>
    <xf numFmtId="9" fontId="6" fillId="0" borderId="12" xfId="3" applyNumberFormat="1" applyFont="1" applyFill="1" applyBorder="1"/>
    <xf numFmtId="9" fontId="7" fillId="0" borderId="15" xfId="3" applyNumberFormat="1" applyFont="1" applyFill="1" applyBorder="1"/>
    <xf numFmtId="3" fontId="7" fillId="0" borderId="20" xfId="3" applyNumberFormat="1" applyFont="1" applyFill="1" applyBorder="1"/>
    <xf numFmtId="3" fontId="7" fillId="0" borderId="16" xfId="3" applyNumberFormat="1" applyFont="1" applyFill="1" applyBorder="1"/>
    <xf numFmtId="3" fontId="7" fillId="0" borderId="21" xfId="3" applyNumberFormat="1" applyFont="1" applyFill="1" applyBorder="1"/>
    <xf numFmtId="9" fontId="7" fillId="0" borderId="17" xfId="3" applyNumberFormat="1" applyFont="1" applyFill="1" applyBorder="1"/>
    <xf numFmtId="3" fontId="7" fillId="0" borderId="22" xfId="3" applyNumberFormat="1" applyFont="1" applyFill="1" applyBorder="1"/>
    <xf numFmtId="3" fontId="7" fillId="0" borderId="19" xfId="3" applyNumberFormat="1" applyFont="1" applyFill="1" applyBorder="1"/>
    <xf numFmtId="3" fontId="7" fillId="0" borderId="23" xfId="3" applyNumberFormat="1" applyFont="1" applyFill="1" applyBorder="1"/>
    <xf numFmtId="10" fontId="6" fillId="0" borderId="12" xfId="3" applyNumberFormat="1" applyFont="1" applyFill="1" applyBorder="1"/>
    <xf numFmtId="9" fontId="7" fillId="0" borderId="12" xfId="3" applyNumberFormat="1" applyFont="1" applyFill="1" applyBorder="1"/>
    <xf numFmtId="3" fontId="6" fillId="0" borderId="4" xfId="2" applyNumberFormat="1" applyFont="1" applyFill="1" applyBorder="1"/>
    <xf numFmtId="3" fontId="6" fillId="0" borderId="14" xfId="4" applyNumberFormat="1" applyFont="1" applyFill="1" applyBorder="1"/>
    <xf numFmtId="3" fontId="7" fillId="0" borderId="20" xfId="2" applyNumberFormat="1" applyFont="1" applyFill="1" applyBorder="1"/>
    <xf numFmtId="3" fontId="7" fillId="0" borderId="16" xfId="4" applyNumberFormat="1" applyFont="1" applyFill="1" applyBorder="1"/>
    <xf numFmtId="3" fontId="7" fillId="0" borderId="22" xfId="2" applyNumberFormat="1" applyFont="1" applyFill="1" applyBorder="1"/>
    <xf numFmtId="9" fontId="6" fillId="5" borderId="24" xfId="3" applyNumberFormat="1" applyFont="1" applyFill="1" applyBorder="1" applyAlignment="1">
      <alignment horizontal="center" wrapText="1"/>
    </xf>
    <xf numFmtId="0" fontId="6" fillId="5" borderId="25" xfId="3" applyFont="1" applyFill="1" applyBorder="1" applyAlignment="1">
      <alignment horizontal="center" wrapText="1"/>
    </xf>
    <xf numFmtId="0" fontId="6" fillId="5" borderId="26" xfId="3" applyFont="1" applyFill="1" applyBorder="1" applyAlignment="1">
      <alignment horizontal="center" wrapText="1"/>
    </xf>
    <xf numFmtId="9" fontId="6" fillId="0" borderId="12" xfId="3" applyNumberFormat="1" applyFont="1" applyFill="1" applyBorder="1" applyAlignment="1">
      <alignment horizontal="center"/>
    </xf>
    <xf numFmtId="3" fontId="7" fillId="0" borderId="4" xfId="3" applyNumberFormat="1" applyFont="1" applyFill="1" applyBorder="1" applyAlignment="1">
      <alignment horizontal="center"/>
    </xf>
    <xf numFmtId="3" fontId="7" fillId="0" borderId="13" xfId="3" applyNumberFormat="1" applyFont="1" applyFill="1" applyBorder="1" applyAlignment="1">
      <alignment horizontal="center"/>
    </xf>
    <xf numFmtId="3" fontId="7" fillId="0" borderId="27" xfId="3" applyNumberFormat="1" applyFont="1" applyFill="1" applyBorder="1" applyAlignment="1">
      <alignment horizontal="center"/>
    </xf>
    <xf numFmtId="9" fontId="6" fillId="0" borderId="15" xfId="3" applyNumberFormat="1" applyFont="1" applyFill="1" applyBorder="1" applyAlignment="1">
      <alignment horizontal="center"/>
    </xf>
    <xf numFmtId="3" fontId="7" fillId="0" borderId="20" xfId="3" applyNumberFormat="1" applyFont="1" applyFill="1" applyBorder="1" applyAlignment="1">
      <alignment horizontal="center"/>
    </xf>
    <xf numFmtId="3" fontId="7" fillId="0" borderId="0" xfId="3" applyNumberFormat="1" applyFont="1" applyFill="1" applyBorder="1" applyAlignment="1">
      <alignment horizontal="center"/>
    </xf>
    <xf numFmtId="3" fontId="7" fillId="0" borderId="21" xfId="3" applyNumberFormat="1" applyFont="1" applyFill="1" applyBorder="1" applyAlignment="1">
      <alignment horizontal="center"/>
    </xf>
    <xf numFmtId="9" fontId="6" fillId="0" borderId="17" xfId="3" applyNumberFormat="1" applyFont="1" applyFill="1" applyBorder="1" applyAlignment="1">
      <alignment horizontal="center"/>
    </xf>
    <xf numFmtId="3" fontId="7" fillId="0" borderId="22" xfId="3" applyNumberFormat="1" applyFont="1" applyFill="1" applyBorder="1" applyAlignment="1">
      <alignment horizontal="center"/>
    </xf>
    <xf numFmtId="3" fontId="7" fillId="0" borderId="18" xfId="3" applyNumberFormat="1" applyFont="1" applyFill="1" applyBorder="1" applyAlignment="1">
      <alignment horizontal="center"/>
    </xf>
    <xf numFmtId="3" fontId="7" fillId="0" borderId="23" xfId="3" applyNumberFormat="1" applyFont="1" applyFill="1" applyBorder="1" applyAlignment="1">
      <alignment horizontal="center"/>
    </xf>
    <xf numFmtId="0" fontId="6" fillId="0" borderId="9" xfId="3" applyFont="1" applyFill="1" applyBorder="1"/>
    <xf numFmtId="0" fontId="6" fillId="0" borderId="10" xfId="3" applyFont="1" applyFill="1" applyBorder="1"/>
    <xf numFmtId="0" fontId="7" fillId="0" borderId="11" xfId="3" applyFont="1" applyFill="1" applyBorder="1"/>
    <xf numFmtId="9" fontId="7" fillId="0" borderId="16" xfId="3" applyNumberFormat="1" applyFont="1" applyFill="1" applyBorder="1" applyAlignment="1">
      <alignment vertical="center"/>
    </xf>
    <xf numFmtId="0" fontId="6" fillId="0" borderId="11" xfId="3" applyFont="1" applyFill="1" applyBorder="1" applyAlignment="1">
      <alignment horizontal="right"/>
    </xf>
    <xf numFmtId="169" fontId="6" fillId="0" borderId="11" xfId="4" applyNumberFormat="1" applyFont="1" applyFill="1" applyBorder="1" applyAlignment="1">
      <alignment horizontal="right"/>
    </xf>
    <xf numFmtId="9" fontId="6" fillId="0" borderId="24" xfId="3" applyNumberFormat="1" applyFont="1" applyFill="1" applyBorder="1" applyAlignment="1">
      <alignment horizontal="center" textRotation="90" wrapText="1"/>
    </xf>
    <xf numFmtId="0" fontId="6" fillId="0" borderId="25" xfId="3" applyFont="1" applyFill="1" applyBorder="1" applyAlignment="1">
      <alignment horizontal="center" textRotation="90" wrapText="1"/>
    </xf>
    <xf numFmtId="0" fontId="6" fillId="0" borderId="26" xfId="3" applyFont="1" applyFill="1" applyBorder="1" applyAlignment="1">
      <alignment horizontal="center" textRotation="90" wrapText="1"/>
    </xf>
    <xf numFmtId="4" fontId="11" fillId="5" borderId="35" xfId="0" applyNumberFormat="1" applyFont="1" applyFill="1" applyBorder="1" applyAlignment="1">
      <alignment horizontal="center"/>
    </xf>
    <xf numFmtId="171" fontId="7" fillId="0" borderId="1" xfId="0" applyNumberFormat="1" applyFont="1" applyBorder="1"/>
    <xf numFmtId="171" fontId="6" fillId="0" borderId="1" xfId="0" applyNumberFormat="1" applyFont="1" applyBorder="1"/>
    <xf numFmtId="171" fontId="7" fillId="0" borderId="1" xfId="0" applyNumberFormat="1" applyFont="1" applyFill="1" applyBorder="1"/>
    <xf numFmtId="171" fontId="6" fillId="0" borderId="1" xfId="0" applyNumberFormat="1" applyFont="1" applyFill="1" applyBorder="1"/>
    <xf numFmtId="171" fontId="6" fillId="0" borderId="1" xfId="0" applyNumberFormat="1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171" fontId="7" fillId="0" borderId="4" xfId="0" applyNumberFormat="1" applyFont="1" applyBorder="1"/>
    <xf numFmtId="171" fontId="7" fillId="0" borderId="1" xfId="0" applyNumberFormat="1" applyFont="1" applyFill="1" applyBorder="1" applyAlignment="1">
      <alignment horizontal="center"/>
    </xf>
    <xf numFmtId="171" fontId="7" fillId="0" borderId="4" xfId="0" applyNumberFormat="1" applyFont="1" applyFill="1" applyBorder="1"/>
    <xf numFmtId="171" fontId="9" fillId="0" borderId="0" xfId="0" applyNumberFormat="1" applyFont="1" applyAlignment="1">
      <alignment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9" fontId="6" fillId="5" borderId="9" xfId="3" applyNumberFormat="1" applyFont="1" applyFill="1" applyBorder="1" applyAlignment="1">
      <alignment horizontal="left" wrapText="1"/>
    </xf>
    <xf numFmtId="9" fontId="6" fillId="5" borderId="10" xfId="3" applyNumberFormat="1" applyFont="1" applyFill="1" applyBorder="1" applyAlignment="1">
      <alignment horizontal="left" wrapText="1"/>
    </xf>
    <xf numFmtId="0" fontId="7" fillId="0" borderId="12" xfId="3" applyFont="1" applyFill="1" applyBorder="1" applyAlignment="1">
      <alignment horizontal="left" wrapText="1"/>
    </xf>
    <xf numFmtId="0" fontId="7" fillId="0" borderId="13" xfId="3" applyFont="1" applyFill="1" applyBorder="1" applyAlignment="1">
      <alignment horizontal="left" wrapText="1"/>
    </xf>
    <xf numFmtId="0" fontId="7" fillId="0" borderId="15" xfId="3" applyFont="1" applyFill="1" applyBorder="1" applyAlignment="1">
      <alignment horizontal="left" wrapText="1"/>
    </xf>
    <xf numFmtId="0" fontId="7" fillId="0" borderId="0" xfId="3" applyFont="1" applyFill="1" applyBorder="1" applyAlignment="1">
      <alignment horizontal="left" wrapText="1"/>
    </xf>
    <xf numFmtId="0" fontId="7" fillId="0" borderId="17" xfId="3" applyFont="1" applyFill="1" applyBorder="1" applyAlignment="1">
      <alignment horizontal="left" wrapText="1"/>
    </xf>
    <xf numFmtId="0" fontId="7" fillId="0" borderId="18" xfId="3" applyFont="1" applyFill="1" applyBorder="1" applyAlignment="1">
      <alignment horizontal="left" wrapText="1"/>
    </xf>
    <xf numFmtId="0" fontId="6" fillId="5" borderId="9" xfId="3" applyFont="1" applyFill="1" applyBorder="1" applyAlignment="1">
      <alignment horizontal="left" wrapText="1"/>
    </xf>
    <xf numFmtId="0" fontId="6" fillId="5" borderId="10" xfId="3" applyFont="1" applyFill="1" applyBorder="1" applyAlignment="1">
      <alignment horizontal="left" wrapText="1"/>
    </xf>
    <xf numFmtId="0" fontId="6" fillId="0" borderId="9" xfId="3" applyFont="1" applyFill="1" applyBorder="1" applyAlignment="1">
      <alignment horizontal="left" wrapText="1"/>
    </xf>
    <xf numFmtId="0" fontId="6" fillId="0" borderId="10" xfId="3" applyFont="1" applyFill="1" applyBorder="1" applyAlignment="1">
      <alignment horizontal="left" wrapText="1"/>
    </xf>
    <xf numFmtId="9" fontId="6" fillId="0" borderId="9" xfId="3" applyNumberFormat="1" applyFont="1" applyFill="1" applyBorder="1" applyAlignment="1">
      <alignment horizontal="left" wrapText="1"/>
    </xf>
    <xf numFmtId="9" fontId="6" fillId="0" borderId="10" xfId="3" applyNumberFormat="1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7">
    <cellStyle name="Dziesiętny" xfId="1" builtinId="3"/>
    <cellStyle name="Dziesiętny_model_Strzyżewice_pl" xfId="4"/>
    <cellStyle name="Euro" xfId="5"/>
    <cellStyle name="Excel Built-in Normal" xfId="6"/>
    <cellStyle name="Normalny" xfId="0" builtinId="0"/>
    <cellStyle name="Normalny_model_Strzyżewice_pl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3220216058494"/>
          <c:y val="6.7357512953367921E-2"/>
          <c:w val="0.82728982366186365"/>
          <c:h val="0.73834196891191706"/>
        </c:manualLayout>
      </c:layout>
      <c:lineChart>
        <c:grouping val="standard"/>
        <c:varyColors val="0"/>
        <c:ser>
          <c:idx val="1"/>
          <c:order val="0"/>
          <c:tx>
            <c:strRef>
              <c:f>'Wyniki-Analiza wrażliwości'!$B$30</c:f>
              <c:strCache>
                <c:ptCount val="1"/>
                <c:pt idx="0">
                  <c:v>Nakłady inwestycyjne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'Wyniki-Analiza wrażliwości'!$A$31:$A$37</c:f>
              <c:numCache>
                <c:formatCode>0%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'Wyniki-Analiza wrażliwości'!$B$31:$B$37</c:f>
              <c:numCache>
                <c:formatCode>#,##0</c:formatCode>
                <c:ptCount val="7"/>
                <c:pt idx="0">
                  <c:v>-100366110.62212068</c:v>
                </c:pt>
                <c:pt idx="1">
                  <c:v>-150168413.92971787</c:v>
                </c:pt>
                <c:pt idx="2">
                  <c:v>-199970717.23731485</c:v>
                </c:pt>
                <c:pt idx="3">
                  <c:v>-249773020.54491195</c:v>
                </c:pt>
                <c:pt idx="4">
                  <c:v>-299575323.8525089</c:v>
                </c:pt>
                <c:pt idx="5">
                  <c:v>-349377627.16010576</c:v>
                </c:pt>
                <c:pt idx="6">
                  <c:v>-399179930.46770304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'Wyniki-Analiza wrażliwości'!$C$30</c:f>
              <c:strCache>
                <c:ptCount val="1"/>
                <c:pt idx="0">
                  <c:v>Przychody operacyjne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'Wyniki-Analiza wrażliwości'!$A$31:$A$37</c:f>
              <c:numCache>
                <c:formatCode>0%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'Wyniki-Analiza wrażliwości'!$C$31:$C$37</c:f>
              <c:numCache>
                <c:formatCode>#,##0</c:formatCode>
                <c:ptCount val="7"/>
                <c:pt idx="0">
                  <c:v>-348437425.75620246</c:v>
                </c:pt>
                <c:pt idx="1">
                  <c:v>-315549290.68577224</c:v>
                </c:pt>
                <c:pt idx="2">
                  <c:v>-282661155.61534208</c:v>
                </c:pt>
                <c:pt idx="3">
                  <c:v>-249773020.54491195</c:v>
                </c:pt>
                <c:pt idx="4">
                  <c:v>-216884885.47448161</c:v>
                </c:pt>
                <c:pt idx="5">
                  <c:v>-183996750.40405142</c:v>
                </c:pt>
                <c:pt idx="6">
                  <c:v>-151108615.33362132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'Wyniki-Analiza wrażliwości'!$D$30</c:f>
              <c:strCache>
                <c:ptCount val="1"/>
                <c:pt idx="0">
                  <c:v>Koszty operacyjne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'Wyniki-Analiza wrażliwości'!$A$31:$A$37</c:f>
              <c:numCache>
                <c:formatCode>0%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'Wyniki-Analiza wrażliwości'!$D$31:$D$37</c:f>
              <c:numCache>
                <c:formatCode>#,##0</c:formatCode>
                <c:ptCount val="7"/>
                <c:pt idx="0">
                  <c:v>-193739682.76498666</c:v>
                </c:pt>
                <c:pt idx="1">
                  <c:v>-212417462.02496186</c:v>
                </c:pt>
                <c:pt idx="2">
                  <c:v>-231095241.28493676</c:v>
                </c:pt>
                <c:pt idx="3">
                  <c:v>-249773020.54491195</c:v>
                </c:pt>
                <c:pt idx="4">
                  <c:v>-268450799.80488682</c:v>
                </c:pt>
                <c:pt idx="5">
                  <c:v>-287128579.06486171</c:v>
                </c:pt>
                <c:pt idx="6">
                  <c:v>-305806358.32483679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'Wyniki-Analiza wrażliwości'!$E$30</c:f>
              <c:strCache>
                <c:ptCount val="1"/>
                <c:pt idx="0">
                  <c:v>Dotacja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'Wyniki-Analiza wrażliwości'!$A$31:$A$37</c:f>
              <c:numCache>
                <c:formatCode>0%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'Wyniki-Analiza wrażliwości'!$E$31:$E$37</c:f>
              <c:numCache>
                <c:formatCode>#,##0</c:formatCode>
                <c:ptCount val="7"/>
                <c:pt idx="0">
                  <c:v>-261683102.95919758</c:v>
                </c:pt>
                <c:pt idx="1">
                  <c:v>-257713075.48776904</c:v>
                </c:pt>
                <c:pt idx="2">
                  <c:v>-253743048.01634049</c:v>
                </c:pt>
                <c:pt idx="3">
                  <c:v>-249773020.54491195</c:v>
                </c:pt>
                <c:pt idx="4">
                  <c:v>-245802993.07348329</c:v>
                </c:pt>
                <c:pt idx="5">
                  <c:v>-241832965.60205472</c:v>
                </c:pt>
                <c:pt idx="6">
                  <c:v>-237862938.1306262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13296"/>
        <c:axId val="290212904"/>
      </c:lineChart>
      <c:catAx>
        <c:axId val="29021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% wartości oczekiwanej</a:t>
                </a:r>
              </a:p>
            </c:rich>
          </c:tx>
          <c:layout>
            <c:manualLayout>
              <c:xMode val="edge"/>
              <c:yMode val="edge"/>
              <c:x val="0.44041523306996289"/>
              <c:y val="0.8341968911917098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021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21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02132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072538860103627E-2"/>
          <c:y val="0.92227979274611394"/>
          <c:w val="0.95855085471828982"/>
          <c:h val="5.9585492227979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2084343596204"/>
          <c:y val="6.0869737516241737E-2"/>
          <c:w val="0.84192581132849986"/>
          <c:h val="0.64637864124390065"/>
        </c:manualLayout>
      </c:layout>
      <c:lineChart>
        <c:grouping val="standard"/>
        <c:varyColors val="0"/>
        <c:ser>
          <c:idx val="1"/>
          <c:order val="0"/>
          <c:tx>
            <c:v>Nakłady inwestycyjne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1.1000000000000001</c:v>
              </c:pt>
              <c:pt idx="5">
                <c:v>1.2</c:v>
              </c:pt>
              <c:pt idx="6">
                <c:v>1.3</c:v>
              </c:pt>
            </c:numLit>
          </c:cat>
          <c:val>
            <c:numLit>
              <c:formatCode>General</c:formatCode>
              <c:ptCount val="7"/>
              <c:pt idx="0">
                <c:v>2124181.104933511</c:v>
              </c:pt>
              <c:pt idx="1">
                <c:v>1641534.226110437</c:v>
              </c:pt>
              <c:pt idx="2">
                <c:v>1158887.3472873636</c:v>
              </c:pt>
              <c:pt idx="3">
                <c:v>676240.46846428956</c:v>
              </c:pt>
              <c:pt idx="4">
                <c:v>193593.58964121412</c:v>
              </c:pt>
              <c:pt idx="5">
                <c:v>-289053.28918185818</c:v>
              </c:pt>
              <c:pt idx="6">
                <c:v>-771700.1680049334</c:v>
              </c:pt>
            </c:numLit>
          </c:val>
          <c:smooth val="0"/>
        </c:ser>
        <c:ser>
          <c:idx val="2"/>
          <c:order val="1"/>
          <c:tx>
            <c:v>Przychody operacyjne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1.1000000000000001</c:v>
              </c:pt>
              <c:pt idx="5">
                <c:v>1.2</c:v>
              </c:pt>
              <c:pt idx="6">
                <c:v>1.3</c:v>
              </c:pt>
            </c:numLit>
          </c:cat>
          <c:val>
            <c:numLit>
              <c:formatCode>General</c:formatCode>
              <c:ptCount val="7"/>
              <c:pt idx="0">
                <c:v>639039.87206712132</c:v>
              </c:pt>
              <c:pt idx="1">
                <c:v>651440.07086617919</c:v>
              </c:pt>
              <c:pt idx="2">
                <c:v>663840.26966523437</c:v>
              </c:pt>
              <c:pt idx="3">
                <c:v>676240.46846428956</c:v>
              </c:pt>
              <c:pt idx="4">
                <c:v>688640.66726334521</c:v>
              </c:pt>
              <c:pt idx="5">
                <c:v>701040.86606240051</c:v>
              </c:pt>
              <c:pt idx="6">
                <c:v>713441.06486145745</c:v>
              </c:pt>
            </c:numLit>
          </c:val>
          <c:smooth val="0"/>
        </c:ser>
        <c:ser>
          <c:idx val="3"/>
          <c:order val="2"/>
          <c:tx>
            <c:v>Dodatkowe korzyści społeczno - ekonomiczne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1.1000000000000001</c:v>
              </c:pt>
              <c:pt idx="5">
                <c:v>1.2</c:v>
              </c:pt>
              <c:pt idx="6">
                <c:v>1.3</c:v>
              </c:pt>
            </c:numLit>
          </c:cat>
          <c:val>
            <c:numLit>
              <c:formatCode>General</c:formatCode>
              <c:ptCount val="7"/>
              <c:pt idx="0">
                <c:v>-1002475.8173318369</c:v>
              </c:pt>
              <c:pt idx="1">
                <c:v>-442903.72206646053</c:v>
              </c:pt>
              <c:pt idx="2">
                <c:v>116668.37319891287</c:v>
              </c:pt>
              <c:pt idx="3">
                <c:v>676240.46846428956</c:v>
              </c:pt>
              <c:pt idx="4">
                <c:v>1235812.5637296662</c:v>
              </c:pt>
              <c:pt idx="5">
                <c:v>1795384.6589950402</c:v>
              </c:pt>
              <c:pt idx="6">
                <c:v>2354956.7542604166</c:v>
              </c:pt>
            </c:numLit>
          </c:val>
          <c:smooth val="0"/>
        </c:ser>
        <c:ser>
          <c:idx val="4"/>
          <c:order val="3"/>
          <c:tx>
            <c:v>Koszty operacyjne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0.7</c:v>
              </c:pt>
              <c:pt idx="1">
                <c:v>0.8</c:v>
              </c:pt>
              <c:pt idx="2">
                <c:v>0.9</c:v>
              </c:pt>
              <c:pt idx="3">
                <c:v>1</c:v>
              </c:pt>
              <c:pt idx="4">
                <c:v>1.1000000000000001</c:v>
              </c:pt>
              <c:pt idx="5">
                <c:v>1.2</c:v>
              </c:pt>
              <c:pt idx="6">
                <c:v>1.3</c:v>
              </c:pt>
            </c:numLit>
          </c:cat>
          <c:val>
            <c:numLit>
              <c:formatCode>General</c:formatCode>
              <c:ptCount val="7"/>
              <c:pt idx="0">
                <c:v>713441.06486145745</c:v>
              </c:pt>
              <c:pt idx="1">
                <c:v>701040.86606240075</c:v>
              </c:pt>
              <c:pt idx="2">
                <c:v>688640.66726334521</c:v>
              </c:pt>
              <c:pt idx="3">
                <c:v>676240.46846428956</c:v>
              </c:pt>
              <c:pt idx="4">
                <c:v>663840.26966523437</c:v>
              </c:pt>
              <c:pt idx="5">
                <c:v>651440.07086617919</c:v>
              </c:pt>
              <c:pt idx="6">
                <c:v>639039.87206712272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19176"/>
        <c:axId val="290218784"/>
      </c:lineChart>
      <c:catAx>
        <c:axId val="29021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% wartości oczekiwanej</a:t>
                </a:r>
              </a:p>
            </c:rich>
          </c:tx>
          <c:layout>
            <c:manualLayout>
              <c:xMode val="edge"/>
              <c:yMode val="edge"/>
              <c:x val="0.422681133930427"/>
              <c:y val="0.73913256495111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021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21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02191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319768018688423E-2"/>
          <c:y val="0.77681372437141061"/>
          <c:w val="0.85738975926978933"/>
          <c:h val="0.1913049564456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688" r="0.75000000000000688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Wykres1"/>
  <sheetViews>
    <sheetView zoomScale="77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40</xdr:row>
      <xdr:rowOff>152400</xdr:rowOff>
    </xdr:from>
    <xdr:to>
      <xdr:col>7</xdr:col>
      <xdr:colOff>571500</xdr:colOff>
      <xdr:row>42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7675" y="8858250"/>
          <a:ext cx="43910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Tabela 30: Analiza wrażliwości - analiza ekonomiczna</a:t>
          </a:r>
        </a:p>
        <a:p>
          <a:pPr algn="ctr" rtl="0">
            <a:defRPr sz="1000"/>
          </a:pPr>
          <a:endParaRPr lang="pl-PL" sz="12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8</xdr:col>
      <xdr:colOff>19050</xdr:colOff>
      <xdr:row>68</xdr:row>
      <xdr:rowOff>19050</xdr:rowOff>
    </xdr:from>
    <xdr:to>
      <xdr:col>17</xdr:col>
      <xdr:colOff>76200</xdr:colOff>
      <xdr:row>77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65</xdr:row>
      <xdr:rowOff>152400</xdr:rowOff>
    </xdr:from>
    <xdr:to>
      <xdr:col>16</xdr:col>
      <xdr:colOff>95250</xdr:colOff>
      <xdr:row>67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57825" y="8858250"/>
          <a:ext cx="439102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Wykres 2: Analiza wrażliwości - analiza ekonomiczna</a:t>
          </a:r>
        </a:p>
        <a:p>
          <a:pPr algn="ctr" rtl="0">
            <a:defRPr sz="1000"/>
          </a:pPr>
          <a:endParaRPr lang="pl-PL" sz="12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P343"/>
  <sheetViews>
    <sheetView topLeftCell="A314" zoomScale="80" zoomScaleNormal="80" workbookViewId="0">
      <selection activeCell="C271" sqref="C271:I279"/>
    </sheetView>
  </sheetViews>
  <sheetFormatPr defaultRowHeight="12.75" outlineLevelCol="1" x14ac:dyDescent="0.2"/>
  <cols>
    <col min="1" max="1" width="4.140625" style="12" customWidth="1"/>
    <col min="2" max="2" width="48.5703125" style="12" customWidth="1"/>
    <col min="3" max="3" width="15.7109375" style="12" bestFit="1" customWidth="1"/>
    <col min="4" max="5" width="15.7109375" style="12" bestFit="1" customWidth="1" outlineLevel="1"/>
    <col min="6" max="6" width="20.140625" style="80" bestFit="1" customWidth="1" outlineLevel="1"/>
    <col min="7" max="7" width="15.7109375" style="12" bestFit="1" customWidth="1" outlineLevel="1"/>
    <col min="8" max="9" width="15.7109375" style="12" bestFit="1" customWidth="1"/>
    <col min="10" max="10" width="13.7109375" style="12" bestFit="1" customWidth="1"/>
    <col min="11" max="35" width="13.5703125" style="12" bestFit="1" customWidth="1"/>
    <col min="36" max="36" width="6.5703125" style="12" bestFit="1" customWidth="1"/>
    <col min="37" max="37" width="8" style="12" customWidth="1"/>
    <col min="38" max="38" width="8.28515625" style="12" customWidth="1"/>
    <col min="39" max="41" width="8.140625" style="12" customWidth="1"/>
    <col min="42" max="16384" width="9.140625" style="12"/>
  </cols>
  <sheetData>
    <row r="1" spans="2:42" ht="25.5" x14ac:dyDescent="0.35">
      <c r="B1" s="275" t="s">
        <v>259</v>
      </c>
    </row>
    <row r="2" spans="2:42" x14ac:dyDescent="0.2">
      <c r="M2" s="12">
        <v>1</v>
      </c>
      <c r="N2" s="12">
        <v>2</v>
      </c>
      <c r="O2" s="12">
        <v>3</v>
      </c>
      <c r="P2" s="12">
        <v>4</v>
      </c>
      <c r="Q2" s="12">
        <v>5</v>
      </c>
      <c r="R2" s="12">
        <v>6</v>
      </c>
      <c r="S2" s="12">
        <v>7</v>
      </c>
      <c r="T2" s="12">
        <v>8</v>
      </c>
      <c r="U2" s="12">
        <v>9</v>
      </c>
      <c r="V2" s="12">
        <v>10</v>
      </c>
      <c r="W2" s="12">
        <v>11</v>
      </c>
      <c r="X2" s="12">
        <v>12</v>
      </c>
      <c r="Y2" s="12">
        <v>13</v>
      </c>
      <c r="Z2" s="12">
        <v>14</v>
      </c>
      <c r="AA2" s="12">
        <v>15</v>
      </c>
      <c r="AB2" s="12">
        <v>16</v>
      </c>
      <c r="AC2" s="12">
        <v>17</v>
      </c>
      <c r="AD2" s="12">
        <v>18</v>
      </c>
      <c r="AE2" s="12">
        <v>19</v>
      </c>
      <c r="AF2" s="12">
        <v>20</v>
      </c>
      <c r="AG2" s="12">
        <v>21</v>
      </c>
      <c r="AH2" s="12">
        <v>22</v>
      </c>
      <c r="AI2" s="12">
        <v>23</v>
      </c>
      <c r="AJ2" s="12">
        <v>24</v>
      </c>
      <c r="AK2" s="12">
        <v>25</v>
      </c>
      <c r="AL2" s="12">
        <v>26</v>
      </c>
      <c r="AM2" s="12">
        <v>27</v>
      </c>
      <c r="AN2" s="12">
        <v>28</v>
      </c>
      <c r="AO2" s="12">
        <v>29</v>
      </c>
      <c r="AP2" s="12">
        <v>30</v>
      </c>
    </row>
    <row r="3" spans="2:42" ht="15.75" x14ac:dyDescent="0.2">
      <c r="B3" s="233" t="s">
        <v>260</v>
      </c>
      <c r="C3" s="253"/>
      <c r="E3" s="253"/>
      <c r="F3" s="254"/>
      <c r="G3" s="253"/>
      <c r="H3" s="253"/>
      <c r="I3" s="253"/>
      <c r="J3" s="253"/>
      <c r="K3" s="253"/>
      <c r="L3" s="255"/>
      <c r="M3" s="255" t="s">
        <v>0</v>
      </c>
      <c r="N3" s="255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2:42" s="1" customFormat="1" ht="27.75" customHeight="1" x14ac:dyDescent="0.25">
      <c r="B4" s="17" t="s">
        <v>1</v>
      </c>
      <c r="C4" s="18" t="s">
        <v>2</v>
      </c>
      <c r="D4" s="19"/>
      <c r="E4" s="19">
        <f t="shared" ref="E4:L4" si="0">F4-1</f>
        <v>2007</v>
      </c>
      <c r="F4" s="19">
        <f t="shared" si="0"/>
        <v>2008</v>
      </c>
      <c r="G4" s="19">
        <f t="shared" si="0"/>
        <v>2009</v>
      </c>
      <c r="H4" s="19">
        <f t="shared" si="0"/>
        <v>2010</v>
      </c>
      <c r="I4" s="19">
        <f t="shared" si="0"/>
        <v>2011</v>
      </c>
      <c r="J4" s="19">
        <f t="shared" si="0"/>
        <v>2012</v>
      </c>
      <c r="K4" s="19">
        <f t="shared" si="0"/>
        <v>2013</v>
      </c>
      <c r="L4" s="19">
        <f t="shared" si="0"/>
        <v>2014</v>
      </c>
      <c r="M4" s="19">
        <f>N4-1</f>
        <v>2015</v>
      </c>
      <c r="N4" s="19">
        <v>2016</v>
      </c>
      <c r="O4" s="19">
        <f>N4+1</f>
        <v>2017</v>
      </c>
      <c r="P4" s="19">
        <f t="shared" ref="P4:AP4" si="1">O4+1</f>
        <v>2018</v>
      </c>
      <c r="Q4" s="19">
        <f t="shared" si="1"/>
        <v>2019</v>
      </c>
      <c r="R4" s="19">
        <f t="shared" si="1"/>
        <v>2020</v>
      </c>
      <c r="S4" s="19">
        <f t="shared" si="1"/>
        <v>2021</v>
      </c>
      <c r="T4" s="19">
        <f t="shared" si="1"/>
        <v>2022</v>
      </c>
      <c r="U4" s="19">
        <f t="shared" si="1"/>
        <v>2023</v>
      </c>
      <c r="V4" s="19">
        <f t="shared" si="1"/>
        <v>2024</v>
      </c>
      <c r="W4" s="19">
        <f t="shared" si="1"/>
        <v>2025</v>
      </c>
      <c r="X4" s="19">
        <f t="shared" si="1"/>
        <v>2026</v>
      </c>
      <c r="Y4" s="19">
        <f t="shared" si="1"/>
        <v>2027</v>
      </c>
      <c r="Z4" s="19">
        <f t="shared" si="1"/>
        <v>2028</v>
      </c>
      <c r="AA4" s="19">
        <f t="shared" si="1"/>
        <v>2029</v>
      </c>
      <c r="AB4" s="19">
        <f t="shared" si="1"/>
        <v>2030</v>
      </c>
      <c r="AC4" s="19">
        <f t="shared" si="1"/>
        <v>2031</v>
      </c>
      <c r="AD4" s="19">
        <f t="shared" si="1"/>
        <v>2032</v>
      </c>
      <c r="AE4" s="19">
        <f t="shared" si="1"/>
        <v>2033</v>
      </c>
      <c r="AF4" s="19">
        <f t="shared" si="1"/>
        <v>2034</v>
      </c>
      <c r="AG4" s="19">
        <f t="shared" si="1"/>
        <v>2035</v>
      </c>
      <c r="AH4" s="19">
        <f t="shared" si="1"/>
        <v>2036</v>
      </c>
      <c r="AI4" s="19">
        <f t="shared" si="1"/>
        <v>2037</v>
      </c>
      <c r="AJ4" s="19">
        <f t="shared" si="1"/>
        <v>2038</v>
      </c>
      <c r="AK4" s="19">
        <f t="shared" si="1"/>
        <v>2039</v>
      </c>
      <c r="AL4" s="19">
        <f t="shared" si="1"/>
        <v>2040</v>
      </c>
      <c r="AM4" s="19">
        <f t="shared" si="1"/>
        <v>2041</v>
      </c>
      <c r="AN4" s="19">
        <f t="shared" si="1"/>
        <v>2042</v>
      </c>
      <c r="AO4" s="19">
        <f t="shared" si="1"/>
        <v>2043</v>
      </c>
      <c r="AP4" s="19">
        <f t="shared" si="1"/>
        <v>2044</v>
      </c>
    </row>
    <row r="5" spans="2:42" s="1" customFormat="1" ht="13.5" x14ac:dyDescent="0.25">
      <c r="B5" s="2" t="s">
        <v>3</v>
      </c>
      <c r="C5" s="3" t="s">
        <v>4</v>
      </c>
      <c r="D5" s="4">
        <v>0.05</v>
      </c>
      <c r="E5" s="5"/>
      <c r="F5" s="6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s="1" customFormat="1" ht="13.5" x14ac:dyDescent="0.25">
      <c r="B6" s="2" t="s">
        <v>5</v>
      </c>
      <c r="C6" s="3" t="s">
        <v>4</v>
      </c>
      <c r="D6" s="5">
        <v>0.23</v>
      </c>
      <c r="E6" s="5"/>
      <c r="F6" s="6"/>
      <c r="G6" s="5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s="1" customFormat="1" ht="13.5" x14ac:dyDescent="0.25">
      <c r="B7" s="7" t="s">
        <v>6</v>
      </c>
      <c r="C7" s="3" t="s">
        <v>4</v>
      </c>
      <c r="D7" s="5"/>
      <c r="E7" s="4">
        <v>2.5000000000000001E-2</v>
      </c>
      <c r="F7" s="8">
        <v>4.2000000000000003E-2</v>
      </c>
      <c r="G7" s="8">
        <v>3.5000000000000003E-2</v>
      </c>
      <c r="H7" s="4">
        <v>2.5999999999999999E-2</v>
      </c>
      <c r="I7" s="4">
        <v>4.2999999999999997E-2</v>
      </c>
      <c r="J7" s="4">
        <v>3.6999999999999998E-2</v>
      </c>
      <c r="K7" s="4">
        <v>8.9999999999999993E-3</v>
      </c>
      <c r="L7" s="4">
        <v>0</v>
      </c>
      <c r="M7" s="4">
        <v>1.2E-2</v>
      </c>
      <c r="N7" s="4">
        <v>2.3E-2</v>
      </c>
      <c r="O7" s="4">
        <v>2.1000000000000001E-2</v>
      </c>
      <c r="P7" s="4">
        <v>2.5000000000000001E-2</v>
      </c>
      <c r="Q7" s="4">
        <f>P7</f>
        <v>2.5000000000000001E-2</v>
      </c>
      <c r="R7" s="4">
        <f>Q7</f>
        <v>2.5000000000000001E-2</v>
      </c>
      <c r="S7" s="4">
        <f t="shared" ref="S7:AN7" si="2">R7</f>
        <v>2.5000000000000001E-2</v>
      </c>
      <c r="T7" s="4">
        <f t="shared" si="2"/>
        <v>2.5000000000000001E-2</v>
      </c>
      <c r="U7" s="4">
        <f t="shared" si="2"/>
        <v>2.5000000000000001E-2</v>
      </c>
      <c r="V7" s="4">
        <f t="shared" si="2"/>
        <v>2.5000000000000001E-2</v>
      </c>
      <c r="W7" s="4">
        <f t="shared" si="2"/>
        <v>2.5000000000000001E-2</v>
      </c>
      <c r="X7" s="4">
        <f t="shared" si="2"/>
        <v>2.5000000000000001E-2</v>
      </c>
      <c r="Y7" s="4">
        <f t="shared" si="2"/>
        <v>2.5000000000000001E-2</v>
      </c>
      <c r="Z7" s="4">
        <f t="shared" si="2"/>
        <v>2.5000000000000001E-2</v>
      </c>
      <c r="AA7" s="4">
        <f t="shared" si="2"/>
        <v>2.5000000000000001E-2</v>
      </c>
      <c r="AB7" s="4">
        <f t="shared" si="2"/>
        <v>2.5000000000000001E-2</v>
      </c>
      <c r="AC7" s="4">
        <f t="shared" si="2"/>
        <v>2.5000000000000001E-2</v>
      </c>
      <c r="AD7" s="4">
        <f t="shared" si="2"/>
        <v>2.5000000000000001E-2</v>
      </c>
      <c r="AE7" s="4">
        <f t="shared" si="2"/>
        <v>2.5000000000000001E-2</v>
      </c>
      <c r="AF7" s="4">
        <f t="shared" si="2"/>
        <v>2.5000000000000001E-2</v>
      </c>
      <c r="AG7" s="4">
        <f>AF7</f>
        <v>2.5000000000000001E-2</v>
      </c>
      <c r="AH7" s="4">
        <f t="shared" si="2"/>
        <v>2.5000000000000001E-2</v>
      </c>
      <c r="AI7" s="4">
        <f t="shared" si="2"/>
        <v>2.5000000000000001E-2</v>
      </c>
      <c r="AJ7" s="4">
        <f t="shared" si="2"/>
        <v>2.5000000000000001E-2</v>
      </c>
      <c r="AK7" s="4">
        <f t="shared" si="2"/>
        <v>2.5000000000000001E-2</v>
      </c>
      <c r="AL7" s="4">
        <f t="shared" si="2"/>
        <v>2.5000000000000001E-2</v>
      </c>
      <c r="AM7" s="4">
        <f t="shared" si="2"/>
        <v>2.5000000000000001E-2</v>
      </c>
      <c r="AN7" s="4">
        <f t="shared" si="2"/>
        <v>2.5000000000000001E-2</v>
      </c>
      <c r="AO7" s="4">
        <f>AN7</f>
        <v>2.5000000000000001E-2</v>
      </c>
      <c r="AP7" s="4">
        <f>AO7</f>
        <v>2.5000000000000001E-2</v>
      </c>
    </row>
    <row r="8" spans="2:42" s="1" customFormat="1" ht="13.5" x14ac:dyDescent="0.25">
      <c r="B8" s="7" t="s">
        <v>263</v>
      </c>
      <c r="C8" s="3" t="s">
        <v>4</v>
      </c>
      <c r="D8" s="5"/>
      <c r="E8" s="9">
        <v>5.5E-2</v>
      </c>
      <c r="F8" s="8">
        <v>5.8999999999999997E-2</v>
      </c>
      <c r="G8" s="8">
        <v>0.02</v>
      </c>
      <c r="H8" s="4">
        <v>1.4E-2</v>
      </c>
      <c r="I8" s="4">
        <v>1.4E-2</v>
      </c>
      <c r="J8" s="8">
        <v>1E-3</v>
      </c>
      <c r="K8" s="4">
        <v>1.0999999999999999E-2</v>
      </c>
      <c r="L8" s="8">
        <v>1.0999999999999999E-2</v>
      </c>
      <c r="M8" s="4">
        <v>2.1999999999999999E-2</v>
      </c>
      <c r="N8" s="4">
        <v>2.7E-2</v>
      </c>
      <c r="O8" s="4">
        <v>3.5000000000000003E-2</v>
      </c>
      <c r="P8" s="4">
        <v>3.5000000000000003E-2</v>
      </c>
      <c r="Q8" s="4">
        <v>3.5000000000000003E-2</v>
      </c>
      <c r="R8" s="4">
        <v>3.5000000000000003E-2</v>
      </c>
      <c r="S8" s="4">
        <v>3.5000000000000003E-2</v>
      </c>
      <c r="T8" s="4">
        <v>3.5000000000000003E-2</v>
      </c>
      <c r="U8" s="4">
        <v>3.5000000000000003E-2</v>
      </c>
      <c r="V8" s="4">
        <v>3.5000000000000003E-2</v>
      </c>
      <c r="W8" s="4">
        <v>3.5000000000000003E-2</v>
      </c>
      <c r="X8" s="4">
        <v>3.5000000000000003E-2</v>
      </c>
      <c r="Y8" s="4">
        <v>3.5000000000000003E-2</v>
      </c>
      <c r="Z8" s="4">
        <v>3.5000000000000003E-2</v>
      </c>
      <c r="AA8" s="4">
        <v>3.5000000000000003E-2</v>
      </c>
      <c r="AB8" s="4">
        <v>3.5000000000000003E-2</v>
      </c>
      <c r="AC8" s="4">
        <v>3.5000000000000003E-2</v>
      </c>
      <c r="AD8" s="4">
        <v>3.5000000000000003E-2</v>
      </c>
      <c r="AE8" s="4">
        <v>3.5000000000000003E-2</v>
      </c>
      <c r="AF8" s="4">
        <v>3.5000000000000003E-2</v>
      </c>
      <c r="AG8" s="4">
        <v>3.5000000000000003E-2</v>
      </c>
      <c r="AH8" s="4">
        <v>3.5000000000000003E-2</v>
      </c>
      <c r="AI8" s="4">
        <v>3.5000000000000003E-2</v>
      </c>
      <c r="AJ8" s="4">
        <v>3.5000000000000003E-2</v>
      </c>
      <c r="AK8" s="4">
        <v>3.5000000000000003E-2</v>
      </c>
      <c r="AL8" s="4">
        <v>3.5000000000000003E-2</v>
      </c>
      <c r="AM8" s="4">
        <v>3.5000000000000003E-2</v>
      </c>
      <c r="AN8" s="4">
        <v>3.5000000000000003E-2</v>
      </c>
      <c r="AO8" s="4">
        <v>3.5000000000000003E-2</v>
      </c>
      <c r="AP8" s="4">
        <v>3.5000000000000003E-2</v>
      </c>
    </row>
    <row r="9" spans="2:42" s="1" customFormat="1" ht="13.5" x14ac:dyDescent="0.25">
      <c r="B9" s="7" t="s">
        <v>7</v>
      </c>
      <c r="C9" s="3" t="s">
        <v>8</v>
      </c>
      <c r="D9" s="5"/>
      <c r="E9" s="2">
        <v>929</v>
      </c>
      <c r="F9" s="10">
        <v>1045.52</v>
      </c>
      <c r="G9" s="10">
        <v>1114.49</v>
      </c>
      <c r="H9" s="11">
        <v>1192.82</v>
      </c>
      <c r="I9" s="11">
        <v>1226.95</v>
      </c>
      <c r="J9" s="11">
        <v>1278.43</v>
      </c>
      <c r="K9" s="11">
        <v>1299.07</v>
      </c>
      <c r="L9" s="11">
        <f>K9+(K9*0.5*L8)+(K9*L7)</f>
        <v>1306.2148849999999</v>
      </c>
      <c r="M9" s="11">
        <f>L9+(L9*0.5*M8)+(L9*M7)</f>
        <v>1336.2578273549998</v>
      </c>
      <c r="N9" s="11">
        <f>M9+(M9*0.5*N8)+(M9*N7)</f>
        <v>1385.0312380534574</v>
      </c>
      <c r="O9" s="11">
        <f>N9+(N9*0.5*O8)+(N9*O7)</f>
        <v>1438.3549407185155</v>
      </c>
      <c r="P9" s="11">
        <f t="shared" ref="P9:AP9" si="3">O9+(O9*0.5*P8)+(O9*P7)</f>
        <v>1499.4850256990526</v>
      </c>
      <c r="Q9" s="11">
        <f t="shared" si="3"/>
        <v>1563.2131392912622</v>
      </c>
      <c r="R9" s="11">
        <f t="shared" si="3"/>
        <v>1629.649697711141</v>
      </c>
      <c r="S9" s="11">
        <f t="shared" si="3"/>
        <v>1698.9098098638644</v>
      </c>
      <c r="T9" s="11">
        <f t="shared" si="3"/>
        <v>1771.1134767830786</v>
      </c>
      <c r="U9" s="11">
        <f t="shared" si="3"/>
        <v>1846.3857995463593</v>
      </c>
      <c r="V9" s="11">
        <f t="shared" si="3"/>
        <v>1924.8571960270797</v>
      </c>
      <c r="W9" s="11">
        <f t="shared" si="3"/>
        <v>2006.6636268582306</v>
      </c>
      <c r="X9" s="11">
        <f t="shared" si="3"/>
        <v>2091.9468309997055</v>
      </c>
      <c r="Y9" s="11">
        <f t="shared" si="3"/>
        <v>2180.8545713171934</v>
      </c>
      <c r="Z9" s="11">
        <f t="shared" si="3"/>
        <v>2273.540890598174</v>
      </c>
      <c r="AA9" s="11">
        <f t="shared" si="3"/>
        <v>2370.1663784485963</v>
      </c>
      <c r="AB9" s="11">
        <f t="shared" si="3"/>
        <v>2470.8984495326617</v>
      </c>
      <c r="AC9" s="11">
        <f t="shared" si="3"/>
        <v>2575.9116336378002</v>
      </c>
      <c r="AD9" s="11">
        <f t="shared" si="3"/>
        <v>2685.3878780674067</v>
      </c>
      <c r="AE9" s="11">
        <f t="shared" si="3"/>
        <v>2799.5168628852716</v>
      </c>
      <c r="AF9" s="11">
        <f t="shared" si="3"/>
        <v>2918.4963295578955</v>
      </c>
      <c r="AG9" s="11">
        <f t="shared" si="3"/>
        <v>3042.532423564106</v>
      </c>
      <c r="AH9" s="11">
        <f t="shared" si="3"/>
        <v>3171.8400515655803</v>
      </c>
      <c r="AI9" s="11">
        <f t="shared" si="3"/>
        <v>3306.6432537571172</v>
      </c>
      <c r="AJ9" s="11">
        <f t="shared" si="3"/>
        <v>3447.175592041795</v>
      </c>
      <c r="AK9" s="11">
        <f t="shared" si="3"/>
        <v>3593.6805547035715</v>
      </c>
      <c r="AL9" s="11">
        <f t="shared" si="3"/>
        <v>3746.4119782784733</v>
      </c>
      <c r="AM9" s="11">
        <f t="shared" si="3"/>
        <v>3905.634487355308</v>
      </c>
      <c r="AN9" s="11">
        <f t="shared" si="3"/>
        <v>4071.6239530679086</v>
      </c>
      <c r="AO9" s="11">
        <f t="shared" si="3"/>
        <v>4244.6679710732942</v>
      </c>
      <c r="AP9" s="11">
        <f t="shared" si="3"/>
        <v>4425.0663598439087</v>
      </c>
    </row>
    <row r="10" spans="2:42" x14ac:dyDescent="0.2">
      <c r="B10" s="71"/>
      <c r="C10" s="240"/>
      <c r="D10" s="256"/>
      <c r="E10" s="257"/>
      <c r="F10" s="258"/>
      <c r="G10" s="259"/>
      <c r="H10" s="259"/>
      <c r="I10" s="259"/>
      <c r="J10" s="259"/>
      <c r="K10" s="259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</row>
    <row r="11" spans="2:42" ht="15.75" x14ac:dyDescent="0.2">
      <c r="B11" s="233" t="s">
        <v>261</v>
      </c>
      <c r="C11" s="261"/>
    </row>
    <row r="12" spans="2:42" s="1" customFormat="1" ht="25.5" customHeight="1" x14ac:dyDescent="0.25">
      <c r="B12" s="17" t="s">
        <v>262</v>
      </c>
      <c r="C12" s="18" t="s">
        <v>2</v>
      </c>
      <c r="D12" s="18">
        <v>2013</v>
      </c>
      <c r="E12" s="18">
        <f>D12+1</f>
        <v>2014</v>
      </c>
      <c r="F12" s="18">
        <f t="shared" ref="F12:AI12" si="4">E12+1</f>
        <v>2015</v>
      </c>
      <c r="G12" s="18">
        <f t="shared" si="4"/>
        <v>2016</v>
      </c>
      <c r="H12" s="18">
        <f t="shared" si="4"/>
        <v>2017</v>
      </c>
      <c r="I12" s="18">
        <f t="shared" si="4"/>
        <v>2018</v>
      </c>
      <c r="J12" s="18">
        <f t="shared" si="4"/>
        <v>2019</v>
      </c>
      <c r="K12" s="18">
        <f t="shared" si="4"/>
        <v>2020</v>
      </c>
      <c r="L12" s="18">
        <f t="shared" si="4"/>
        <v>2021</v>
      </c>
      <c r="M12" s="18">
        <f t="shared" si="4"/>
        <v>2022</v>
      </c>
      <c r="N12" s="18">
        <f t="shared" si="4"/>
        <v>2023</v>
      </c>
      <c r="O12" s="18">
        <f t="shared" si="4"/>
        <v>2024</v>
      </c>
      <c r="P12" s="18">
        <f t="shared" si="4"/>
        <v>2025</v>
      </c>
      <c r="Q12" s="18">
        <f t="shared" si="4"/>
        <v>2026</v>
      </c>
      <c r="R12" s="18">
        <f t="shared" si="4"/>
        <v>2027</v>
      </c>
      <c r="S12" s="18">
        <f t="shared" si="4"/>
        <v>2028</v>
      </c>
      <c r="T12" s="18">
        <f t="shared" si="4"/>
        <v>2029</v>
      </c>
      <c r="U12" s="18">
        <f t="shared" si="4"/>
        <v>2030</v>
      </c>
      <c r="V12" s="18">
        <f t="shared" si="4"/>
        <v>2031</v>
      </c>
      <c r="W12" s="18">
        <f t="shared" si="4"/>
        <v>2032</v>
      </c>
      <c r="X12" s="18">
        <f t="shared" si="4"/>
        <v>2033</v>
      </c>
      <c r="Y12" s="18">
        <f t="shared" si="4"/>
        <v>2034</v>
      </c>
      <c r="Z12" s="18">
        <f t="shared" si="4"/>
        <v>2035</v>
      </c>
      <c r="AA12" s="18">
        <f t="shared" si="4"/>
        <v>2036</v>
      </c>
      <c r="AB12" s="18">
        <f t="shared" si="4"/>
        <v>2037</v>
      </c>
      <c r="AC12" s="18">
        <f t="shared" si="4"/>
        <v>2038</v>
      </c>
      <c r="AD12" s="18">
        <f t="shared" si="4"/>
        <v>2039</v>
      </c>
      <c r="AE12" s="18">
        <f t="shared" si="4"/>
        <v>2040</v>
      </c>
      <c r="AF12" s="18">
        <f t="shared" si="4"/>
        <v>2041</v>
      </c>
      <c r="AG12" s="18">
        <f t="shared" si="4"/>
        <v>2042</v>
      </c>
      <c r="AH12" s="18">
        <f t="shared" si="4"/>
        <v>2043</v>
      </c>
      <c r="AI12" s="18">
        <f t="shared" si="4"/>
        <v>2044</v>
      </c>
    </row>
    <row r="13" spans="2:42" s="1" customFormat="1" ht="27" x14ac:dyDescent="0.25">
      <c r="B13" s="13" t="s">
        <v>265</v>
      </c>
      <c r="C13" s="2" t="s">
        <v>9</v>
      </c>
      <c r="D13" s="14">
        <v>57524</v>
      </c>
      <c r="E13" s="14">
        <f t="shared" ref="E13:E18" si="5">D13</f>
        <v>57524</v>
      </c>
      <c r="F13" s="15">
        <f t="shared" ref="F13:U14" si="6">E13</f>
        <v>57524</v>
      </c>
      <c r="G13" s="14">
        <f>F13</f>
        <v>57524</v>
      </c>
      <c r="H13" s="14">
        <f>G13</f>
        <v>57524</v>
      </c>
      <c r="I13" s="14">
        <f t="shared" si="6"/>
        <v>57524</v>
      </c>
      <c r="J13" s="14">
        <f t="shared" si="6"/>
        <v>57524</v>
      </c>
      <c r="K13" s="14">
        <f t="shared" si="6"/>
        <v>57524</v>
      </c>
      <c r="L13" s="14">
        <f t="shared" si="6"/>
        <v>57524</v>
      </c>
      <c r="M13" s="14">
        <f t="shared" si="6"/>
        <v>57524</v>
      </c>
      <c r="N13" s="14">
        <f t="shared" si="6"/>
        <v>57524</v>
      </c>
      <c r="O13" s="14">
        <f t="shared" si="6"/>
        <v>57524</v>
      </c>
      <c r="P13" s="14">
        <f t="shared" si="6"/>
        <v>57524</v>
      </c>
      <c r="Q13" s="14">
        <f t="shared" si="6"/>
        <v>57524</v>
      </c>
      <c r="R13" s="14">
        <f t="shared" si="6"/>
        <v>57524</v>
      </c>
      <c r="S13" s="14">
        <f t="shared" si="6"/>
        <v>57524</v>
      </c>
      <c r="T13" s="14">
        <f t="shared" si="6"/>
        <v>57524</v>
      </c>
      <c r="U13" s="14">
        <f t="shared" si="6"/>
        <v>57524</v>
      </c>
      <c r="V13" s="14">
        <f t="shared" ref="V13:AI14" si="7">U13</f>
        <v>57524</v>
      </c>
      <c r="W13" s="14">
        <f t="shared" si="7"/>
        <v>57524</v>
      </c>
      <c r="X13" s="14">
        <f t="shared" si="7"/>
        <v>57524</v>
      </c>
      <c r="Y13" s="14">
        <f t="shared" si="7"/>
        <v>57524</v>
      </c>
      <c r="Z13" s="14">
        <f t="shared" si="7"/>
        <v>57524</v>
      </c>
      <c r="AA13" s="14">
        <f t="shared" si="7"/>
        <v>57524</v>
      </c>
      <c r="AB13" s="14">
        <f t="shared" si="7"/>
        <v>57524</v>
      </c>
      <c r="AC13" s="14">
        <f t="shared" si="7"/>
        <v>57524</v>
      </c>
      <c r="AD13" s="14">
        <f t="shared" si="7"/>
        <v>57524</v>
      </c>
      <c r="AE13" s="14">
        <f t="shared" si="7"/>
        <v>57524</v>
      </c>
      <c r="AF13" s="14">
        <f t="shared" si="7"/>
        <v>57524</v>
      </c>
      <c r="AG13" s="14">
        <f t="shared" si="7"/>
        <v>57524</v>
      </c>
      <c r="AH13" s="14">
        <f t="shared" si="7"/>
        <v>57524</v>
      </c>
      <c r="AI13" s="14">
        <f t="shared" si="7"/>
        <v>57524</v>
      </c>
    </row>
    <row r="14" spans="2:42" s="1" customFormat="1" ht="27" x14ac:dyDescent="0.25">
      <c r="B14" s="16" t="s">
        <v>266</v>
      </c>
      <c r="C14" s="8" t="s">
        <v>10</v>
      </c>
      <c r="D14" s="14">
        <v>314690</v>
      </c>
      <c r="E14" s="14">
        <f t="shared" si="5"/>
        <v>314690</v>
      </c>
      <c r="F14" s="15">
        <f>E14</f>
        <v>314690</v>
      </c>
      <c r="G14" s="14">
        <f>F14</f>
        <v>314690</v>
      </c>
      <c r="H14" s="14">
        <f>G14</f>
        <v>314690</v>
      </c>
      <c r="I14" s="14">
        <f t="shared" si="6"/>
        <v>314690</v>
      </c>
      <c r="J14" s="14">
        <f t="shared" si="6"/>
        <v>314690</v>
      </c>
      <c r="K14" s="14">
        <f t="shared" si="6"/>
        <v>314690</v>
      </c>
      <c r="L14" s="14">
        <f t="shared" si="6"/>
        <v>314690</v>
      </c>
      <c r="M14" s="14">
        <f t="shared" si="6"/>
        <v>314690</v>
      </c>
      <c r="N14" s="14">
        <f t="shared" si="6"/>
        <v>314690</v>
      </c>
      <c r="O14" s="14">
        <f t="shared" si="6"/>
        <v>314690</v>
      </c>
      <c r="P14" s="14">
        <f t="shared" si="6"/>
        <v>314690</v>
      </c>
      <c r="Q14" s="14">
        <f t="shared" si="6"/>
        <v>314690</v>
      </c>
      <c r="R14" s="14">
        <f t="shared" si="6"/>
        <v>314690</v>
      </c>
      <c r="S14" s="14">
        <f t="shared" si="6"/>
        <v>314690</v>
      </c>
      <c r="T14" s="14">
        <f t="shared" si="6"/>
        <v>314690</v>
      </c>
      <c r="U14" s="14">
        <f t="shared" si="6"/>
        <v>314690</v>
      </c>
      <c r="V14" s="14">
        <f t="shared" si="7"/>
        <v>314690</v>
      </c>
      <c r="W14" s="14">
        <f t="shared" si="7"/>
        <v>314690</v>
      </c>
      <c r="X14" s="14">
        <f t="shared" si="7"/>
        <v>314690</v>
      </c>
      <c r="Y14" s="14">
        <f t="shared" si="7"/>
        <v>314690</v>
      </c>
      <c r="Z14" s="14">
        <f t="shared" si="7"/>
        <v>314690</v>
      </c>
      <c r="AA14" s="14">
        <f t="shared" si="7"/>
        <v>314690</v>
      </c>
      <c r="AB14" s="14">
        <f t="shared" si="7"/>
        <v>314690</v>
      </c>
      <c r="AC14" s="14">
        <f t="shared" si="7"/>
        <v>314690</v>
      </c>
      <c r="AD14" s="14">
        <f t="shared" si="7"/>
        <v>314690</v>
      </c>
      <c r="AE14" s="14">
        <f t="shared" si="7"/>
        <v>314690</v>
      </c>
      <c r="AF14" s="14">
        <f t="shared" si="7"/>
        <v>314690</v>
      </c>
      <c r="AG14" s="14">
        <f t="shared" si="7"/>
        <v>314690</v>
      </c>
      <c r="AH14" s="14">
        <f t="shared" si="7"/>
        <v>314690</v>
      </c>
      <c r="AI14" s="14">
        <f t="shared" si="7"/>
        <v>314690</v>
      </c>
    </row>
    <row r="15" spans="2:42" s="1" customFormat="1" ht="27" x14ac:dyDescent="0.25">
      <c r="B15" s="13" t="s">
        <v>267</v>
      </c>
      <c r="C15" s="2" t="s">
        <v>9</v>
      </c>
      <c r="D15" s="14">
        <v>6776</v>
      </c>
      <c r="E15" s="14">
        <f t="shared" si="5"/>
        <v>6776</v>
      </c>
      <c r="F15" s="15">
        <f>E15</f>
        <v>6776</v>
      </c>
      <c r="G15" s="14">
        <f t="shared" ref="G15:H18" si="8">F15</f>
        <v>6776</v>
      </c>
      <c r="H15" s="14">
        <f t="shared" si="8"/>
        <v>6776</v>
      </c>
      <c r="I15" s="14">
        <f t="shared" ref="I15:AI15" si="9">H15</f>
        <v>6776</v>
      </c>
      <c r="J15" s="14">
        <f t="shared" si="9"/>
        <v>6776</v>
      </c>
      <c r="K15" s="14">
        <f t="shared" si="9"/>
        <v>6776</v>
      </c>
      <c r="L15" s="14">
        <f t="shared" si="9"/>
        <v>6776</v>
      </c>
      <c r="M15" s="14">
        <f t="shared" si="9"/>
        <v>6776</v>
      </c>
      <c r="N15" s="14">
        <f t="shared" si="9"/>
        <v>6776</v>
      </c>
      <c r="O15" s="14">
        <f t="shared" si="9"/>
        <v>6776</v>
      </c>
      <c r="P15" s="14">
        <f t="shared" si="9"/>
        <v>6776</v>
      </c>
      <c r="Q15" s="14">
        <f t="shared" si="9"/>
        <v>6776</v>
      </c>
      <c r="R15" s="14">
        <f t="shared" si="9"/>
        <v>6776</v>
      </c>
      <c r="S15" s="14">
        <f t="shared" si="9"/>
        <v>6776</v>
      </c>
      <c r="T15" s="14">
        <f t="shared" si="9"/>
        <v>6776</v>
      </c>
      <c r="U15" s="14">
        <f t="shared" si="9"/>
        <v>6776</v>
      </c>
      <c r="V15" s="14">
        <f t="shared" si="9"/>
        <v>6776</v>
      </c>
      <c r="W15" s="14">
        <f t="shared" si="9"/>
        <v>6776</v>
      </c>
      <c r="X15" s="14">
        <f t="shared" si="9"/>
        <v>6776</v>
      </c>
      <c r="Y15" s="14">
        <f t="shared" si="9"/>
        <v>6776</v>
      </c>
      <c r="Z15" s="14">
        <f t="shared" si="9"/>
        <v>6776</v>
      </c>
      <c r="AA15" s="14">
        <f t="shared" si="9"/>
        <v>6776</v>
      </c>
      <c r="AB15" s="14">
        <f t="shared" si="9"/>
        <v>6776</v>
      </c>
      <c r="AC15" s="14">
        <f t="shared" si="9"/>
        <v>6776</v>
      </c>
      <c r="AD15" s="14">
        <f t="shared" si="9"/>
        <v>6776</v>
      </c>
      <c r="AE15" s="14">
        <f t="shared" si="9"/>
        <v>6776</v>
      </c>
      <c r="AF15" s="14">
        <f t="shared" si="9"/>
        <v>6776</v>
      </c>
      <c r="AG15" s="14">
        <f t="shared" si="9"/>
        <v>6776</v>
      </c>
      <c r="AH15" s="14">
        <f t="shared" si="9"/>
        <v>6776</v>
      </c>
      <c r="AI15" s="14">
        <f t="shared" si="9"/>
        <v>6776</v>
      </c>
    </row>
    <row r="16" spans="2:42" s="1" customFormat="1" ht="27" x14ac:dyDescent="0.25">
      <c r="B16" s="13" t="s">
        <v>268</v>
      </c>
      <c r="C16" s="2" t="s">
        <v>9</v>
      </c>
      <c r="D16" s="14">
        <v>54237</v>
      </c>
      <c r="E16" s="14">
        <f t="shared" si="5"/>
        <v>54237</v>
      </c>
      <c r="F16" s="15">
        <f>E16</f>
        <v>54237</v>
      </c>
      <c r="G16" s="14">
        <f t="shared" si="8"/>
        <v>54237</v>
      </c>
      <c r="H16" s="14">
        <f t="shared" si="8"/>
        <v>54237</v>
      </c>
      <c r="I16" s="14">
        <f t="shared" ref="I16:AG16" si="10">H16</f>
        <v>54237</v>
      </c>
      <c r="J16" s="14">
        <f t="shared" si="10"/>
        <v>54237</v>
      </c>
      <c r="K16" s="14">
        <f t="shared" si="10"/>
        <v>54237</v>
      </c>
      <c r="L16" s="14">
        <f t="shared" si="10"/>
        <v>54237</v>
      </c>
      <c r="M16" s="14">
        <f t="shared" si="10"/>
        <v>54237</v>
      </c>
      <c r="N16" s="14">
        <f t="shared" si="10"/>
        <v>54237</v>
      </c>
      <c r="O16" s="14">
        <f t="shared" si="10"/>
        <v>54237</v>
      </c>
      <c r="P16" s="14">
        <f t="shared" si="10"/>
        <v>54237</v>
      </c>
      <c r="Q16" s="14">
        <f t="shared" si="10"/>
        <v>54237</v>
      </c>
      <c r="R16" s="14">
        <f t="shared" si="10"/>
        <v>54237</v>
      </c>
      <c r="S16" s="14">
        <f t="shared" si="10"/>
        <v>54237</v>
      </c>
      <c r="T16" s="14">
        <f t="shared" si="10"/>
        <v>54237</v>
      </c>
      <c r="U16" s="14">
        <f t="shared" si="10"/>
        <v>54237</v>
      </c>
      <c r="V16" s="14">
        <f t="shared" si="10"/>
        <v>54237</v>
      </c>
      <c r="W16" s="14">
        <f t="shared" si="10"/>
        <v>54237</v>
      </c>
      <c r="X16" s="14">
        <f t="shared" si="10"/>
        <v>54237</v>
      </c>
      <c r="Y16" s="14">
        <f t="shared" si="10"/>
        <v>54237</v>
      </c>
      <c r="Z16" s="14">
        <f t="shared" si="10"/>
        <v>54237</v>
      </c>
      <c r="AA16" s="14">
        <f t="shared" si="10"/>
        <v>54237</v>
      </c>
      <c r="AB16" s="14">
        <f t="shared" si="10"/>
        <v>54237</v>
      </c>
      <c r="AC16" s="14">
        <f t="shared" si="10"/>
        <v>54237</v>
      </c>
      <c r="AD16" s="14">
        <f t="shared" si="10"/>
        <v>54237</v>
      </c>
      <c r="AE16" s="14">
        <f t="shared" si="10"/>
        <v>54237</v>
      </c>
      <c r="AF16" s="14">
        <f t="shared" si="10"/>
        <v>54237</v>
      </c>
      <c r="AG16" s="14">
        <f t="shared" si="10"/>
        <v>54237</v>
      </c>
      <c r="AH16" s="14">
        <f t="shared" ref="AH16:AI18" si="11">AG16</f>
        <v>54237</v>
      </c>
      <c r="AI16" s="14">
        <f t="shared" si="11"/>
        <v>54237</v>
      </c>
    </row>
    <row r="17" spans="1:35" s="1" customFormat="1" ht="27" x14ac:dyDescent="0.25">
      <c r="B17" s="16" t="s">
        <v>269</v>
      </c>
      <c r="C17" s="8" t="s">
        <v>10</v>
      </c>
      <c r="D17" s="14">
        <v>291722</v>
      </c>
      <c r="E17" s="14">
        <f t="shared" si="5"/>
        <v>291722</v>
      </c>
      <c r="F17" s="15">
        <f>E17</f>
        <v>291722</v>
      </c>
      <c r="G17" s="14">
        <f t="shared" si="8"/>
        <v>291722</v>
      </c>
      <c r="H17" s="14">
        <f t="shared" si="8"/>
        <v>291722</v>
      </c>
      <c r="I17" s="14">
        <f t="shared" ref="I17:AG17" si="12">H17</f>
        <v>291722</v>
      </c>
      <c r="J17" s="14">
        <f t="shared" si="12"/>
        <v>291722</v>
      </c>
      <c r="K17" s="14">
        <f t="shared" si="12"/>
        <v>291722</v>
      </c>
      <c r="L17" s="14">
        <f t="shared" si="12"/>
        <v>291722</v>
      </c>
      <c r="M17" s="14">
        <f t="shared" si="12"/>
        <v>291722</v>
      </c>
      <c r="N17" s="14">
        <f t="shared" si="12"/>
        <v>291722</v>
      </c>
      <c r="O17" s="14">
        <f t="shared" si="12"/>
        <v>291722</v>
      </c>
      <c r="P17" s="14">
        <f t="shared" si="12"/>
        <v>291722</v>
      </c>
      <c r="Q17" s="14">
        <f t="shared" si="12"/>
        <v>291722</v>
      </c>
      <c r="R17" s="14">
        <f t="shared" si="12"/>
        <v>291722</v>
      </c>
      <c r="S17" s="14">
        <f t="shared" si="12"/>
        <v>291722</v>
      </c>
      <c r="T17" s="14">
        <f t="shared" si="12"/>
        <v>291722</v>
      </c>
      <c r="U17" s="14">
        <f t="shared" si="12"/>
        <v>291722</v>
      </c>
      <c r="V17" s="14">
        <f t="shared" si="12"/>
        <v>291722</v>
      </c>
      <c r="W17" s="14">
        <f t="shared" si="12"/>
        <v>291722</v>
      </c>
      <c r="X17" s="14">
        <f t="shared" si="12"/>
        <v>291722</v>
      </c>
      <c r="Y17" s="14">
        <f t="shared" si="12"/>
        <v>291722</v>
      </c>
      <c r="Z17" s="14">
        <f t="shared" si="12"/>
        <v>291722</v>
      </c>
      <c r="AA17" s="14">
        <f t="shared" si="12"/>
        <v>291722</v>
      </c>
      <c r="AB17" s="14">
        <f t="shared" si="12"/>
        <v>291722</v>
      </c>
      <c r="AC17" s="14">
        <f t="shared" si="12"/>
        <v>291722</v>
      </c>
      <c r="AD17" s="14">
        <f t="shared" si="12"/>
        <v>291722</v>
      </c>
      <c r="AE17" s="14">
        <f t="shared" si="12"/>
        <v>291722</v>
      </c>
      <c r="AF17" s="14">
        <f t="shared" si="12"/>
        <v>291722</v>
      </c>
      <c r="AG17" s="14">
        <f t="shared" si="12"/>
        <v>291722</v>
      </c>
      <c r="AH17" s="14">
        <f t="shared" si="11"/>
        <v>291722</v>
      </c>
      <c r="AI17" s="14">
        <f t="shared" si="11"/>
        <v>291722</v>
      </c>
    </row>
    <row r="18" spans="1:35" s="1" customFormat="1" ht="27" x14ac:dyDescent="0.25">
      <c r="B18" s="13" t="s">
        <v>270</v>
      </c>
      <c r="C18" s="2" t="s">
        <v>9</v>
      </c>
      <c r="D18" s="14">
        <v>5011</v>
      </c>
      <c r="E18" s="14">
        <f t="shared" si="5"/>
        <v>5011</v>
      </c>
      <c r="F18" s="15">
        <f>E18</f>
        <v>5011</v>
      </c>
      <c r="G18" s="14">
        <f t="shared" si="8"/>
        <v>5011</v>
      </c>
      <c r="H18" s="14">
        <f t="shared" si="8"/>
        <v>5011</v>
      </c>
      <c r="I18" s="14">
        <f t="shared" ref="I18:AG18" si="13">H18</f>
        <v>5011</v>
      </c>
      <c r="J18" s="14">
        <f t="shared" si="13"/>
        <v>5011</v>
      </c>
      <c r="K18" s="14">
        <f t="shared" si="13"/>
        <v>5011</v>
      </c>
      <c r="L18" s="14">
        <f t="shared" si="13"/>
        <v>5011</v>
      </c>
      <c r="M18" s="14">
        <f t="shared" si="13"/>
        <v>5011</v>
      </c>
      <c r="N18" s="14">
        <f t="shared" si="13"/>
        <v>5011</v>
      </c>
      <c r="O18" s="14">
        <f t="shared" si="13"/>
        <v>5011</v>
      </c>
      <c r="P18" s="14">
        <f t="shared" si="13"/>
        <v>5011</v>
      </c>
      <c r="Q18" s="14">
        <f t="shared" si="13"/>
        <v>5011</v>
      </c>
      <c r="R18" s="14">
        <f t="shared" si="13"/>
        <v>5011</v>
      </c>
      <c r="S18" s="14">
        <f t="shared" si="13"/>
        <v>5011</v>
      </c>
      <c r="T18" s="14">
        <f t="shared" si="13"/>
        <v>5011</v>
      </c>
      <c r="U18" s="14">
        <f t="shared" si="13"/>
        <v>5011</v>
      </c>
      <c r="V18" s="14">
        <f t="shared" si="13"/>
        <v>5011</v>
      </c>
      <c r="W18" s="14">
        <f t="shared" si="13"/>
        <v>5011</v>
      </c>
      <c r="X18" s="14">
        <f t="shared" si="13"/>
        <v>5011</v>
      </c>
      <c r="Y18" s="14">
        <f t="shared" si="13"/>
        <v>5011</v>
      </c>
      <c r="Z18" s="14">
        <f t="shared" si="13"/>
        <v>5011</v>
      </c>
      <c r="AA18" s="14">
        <f t="shared" si="13"/>
        <v>5011</v>
      </c>
      <c r="AB18" s="14">
        <f t="shared" si="13"/>
        <v>5011</v>
      </c>
      <c r="AC18" s="14">
        <f t="shared" si="13"/>
        <v>5011</v>
      </c>
      <c r="AD18" s="14">
        <f t="shared" si="13"/>
        <v>5011</v>
      </c>
      <c r="AE18" s="14">
        <f t="shared" si="13"/>
        <v>5011</v>
      </c>
      <c r="AF18" s="14">
        <f t="shared" si="13"/>
        <v>5011</v>
      </c>
      <c r="AG18" s="14">
        <f t="shared" si="13"/>
        <v>5011</v>
      </c>
      <c r="AH18" s="14">
        <f t="shared" si="11"/>
        <v>5011</v>
      </c>
      <c r="AI18" s="14">
        <f t="shared" si="11"/>
        <v>5011</v>
      </c>
    </row>
    <row r="19" spans="1:35" x14ac:dyDescent="0.2">
      <c r="B19" s="262"/>
      <c r="C19" s="263"/>
      <c r="D19" s="264"/>
      <c r="E19" s="264"/>
      <c r="F19" s="265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</row>
    <row r="20" spans="1:35" ht="15.75" x14ac:dyDescent="0.2">
      <c r="B20" s="233" t="s">
        <v>279</v>
      </c>
      <c r="C20" s="263"/>
      <c r="D20" s="93"/>
      <c r="E20" s="264"/>
      <c r="F20" s="265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</row>
    <row r="21" spans="1:35" s="51" customFormat="1" ht="13.5" x14ac:dyDescent="0.25">
      <c r="B21" s="20" t="s">
        <v>11</v>
      </c>
      <c r="C21" s="52"/>
      <c r="D21" s="18">
        <f>D12</f>
        <v>2013</v>
      </c>
      <c r="E21" s="18">
        <f>D21+1</f>
        <v>2014</v>
      </c>
      <c r="F21" s="18">
        <f t="shared" ref="F21:AI21" si="14">E21+1</f>
        <v>2015</v>
      </c>
      <c r="G21" s="18">
        <f t="shared" si="14"/>
        <v>2016</v>
      </c>
      <c r="H21" s="18">
        <f t="shared" si="14"/>
        <v>2017</v>
      </c>
      <c r="I21" s="18">
        <f t="shared" si="14"/>
        <v>2018</v>
      </c>
      <c r="J21" s="18">
        <f t="shared" si="14"/>
        <v>2019</v>
      </c>
      <c r="K21" s="18">
        <f t="shared" si="14"/>
        <v>2020</v>
      </c>
      <c r="L21" s="18">
        <f t="shared" si="14"/>
        <v>2021</v>
      </c>
      <c r="M21" s="18">
        <f t="shared" si="14"/>
        <v>2022</v>
      </c>
      <c r="N21" s="18">
        <f t="shared" si="14"/>
        <v>2023</v>
      </c>
      <c r="O21" s="18">
        <f t="shared" si="14"/>
        <v>2024</v>
      </c>
      <c r="P21" s="18">
        <f t="shared" si="14"/>
        <v>2025</v>
      </c>
      <c r="Q21" s="18">
        <f t="shared" si="14"/>
        <v>2026</v>
      </c>
      <c r="R21" s="18">
        <f t="shared" si="14"/>
        <v>2027</v>
      </c>
      <c r="S21" s="18">
        <f t="shared" si="14"/>
        <v>2028</v>
      </c>
      <c r="T21" s="18">
        <f t="shared" si="14"/>
        <v>2029</v>
      </c>
      <c r="U21" s="18">
        <f t="shared" si="14"/>
        <v>2030</v>
      </c>
      <c r="V21" s="18">
        <f t="shared" si="14"/>
        <v>2031</v>
      </c>
      <c r="W21" s="18">
        <f t="shared" si="14"/>
        <v>2032</v>
      </c>
      <c r="X21" s="18">
        <f t="shared" si="14"/>
        <v>2033</v>
      </c>
      <c r="Y21" s="18">
        <f t="shared" si="14"/>
        <v>2034</v>
      </c>
      <c r="Z21" s="18">
        <f t="shared" si="14"/>
        <v>2035</v>
      </c>
      <c r="AA21" s="18">
        <f t="shared" si="14"/>
        <v>2036</v>
      </c>
      <c r="AB21" s="18">
        <f t="shared" si="14"/>
        <v>2037</v>
      </c>
      <c r="AC21" s="18">
        <f t="shared" si="14"/>
        <v>2038</v>
      </c>
      <c r="AD21" s="18">
        <f t="shared" si="14"/>
        <v>2039</v>
      </c>
      <c r="AE21" s="18">
        <f t="shared" si="14"/>
        <v>2040</v>
      </c>
      <c r="AF21" s="18">
        <f t="shared" si="14"/>
        <v>2041</v>
      </c>
      <c r="AG21" s="18">
        <f t="shared" si="14"/>
        <v>2042</v>
      </c>
      <c r="AH21" s="18">
        <f t="shared" si="14"/>
        <v>2043</v>
      </c>
      <c r="AI21" s="18">
        <f t="shared" si="14"/>
        <v>2044</v>
      </c>
    </row>
    <row r="22" spans="1:35" s="1" customFormat="1" ht="13.5" x14ac:dyDescent="0.25">
      <c r="B22" s="13" t="s">
        <v>327</v>
      </c>
      <c r="C22" s="2" t="s">
        <v>9</v>
      </c>
      <c r="D22" s="14">
        <f>D13</f>
        <v>57524</v>
      </c>
      <c r="E22" s="14">
        <f>D22</f>
        <v>57524</v>
      </c>
      <c r="F22" s="15">
        <f t="shared" ref="F22:AG22" si="15">E22</f>
        <v>57524</v>
      </c>
      <c r="G22" s="14">
        <f>F22</f>
        <v>57524</v>
      </c>
      <c r="H22" s="14">
        <f t="shared" si="15"/>
        <v>57524</v>
      </c>
      <c r="I22" s="14">
        <f t="shared" si="15"/>
        <v>57524</v>
      </c>
      <c r="J22" s="14">
        <f t="shared" si="15"/>
        <v>57524</v>
      </c>
      <c r="K22" s="14">
        <f t="shared" si="15"/>
        <v>57524</v>
      </c>
      <c r="L22" s="14">
        <f t="shared" si="15"/>
        <v>57524</v>
      </c>
      <c r="M22" s="14">
        <f t="shared" si="15"/>
        <v>57524</v>
      </c>
      <c r="N22" s="14">
        <f t="shared" si="15"/>
        <v>57524</v>
      </c>
      <c r="O22" s="14">
        <f t="shared" si="15"/>
        <v>57524</v>
      </c>
      <c r="P22" s="14">
        <f t="shared" si="15"/>
        <v>57524</v>
      </c>
      <c r="Q22" s="14">
        <f t="shared" si="15"/>
        <v>57524</v>
      </c>
      <c r="R22" s="14">
        <f t="shared" si="15"/>
        <v>57524</v>
      </c>
      <c r="S22" s="14">
        <f t="shared" si="15"/>
        <v>57524</v>
      </c>
      <c r="T22" s="14">
        <f t="shared" si="15"/>
        <v>57524</v>
      </c>
      <c r="U22" s="14">
        <f t="shared" si="15"/>
        <v>57524</v>
      </c>
      <c r="V22" s="14">
        <f t="shared" si="15"/>
        <v>57524</v>
      </c>
      <c r="W22" s="14">
        <f t="shared" si="15"/>
        <v>57524</v>
      </c>
      <c r="X22" s="14">
        <f t="shared" si="15"/>
        <v>57524</v>
      </c>
      <c r="Y22" s="14">
        <f t="shared" si="15"/>
        <v>57524</v>
      </c>
      <c r="Z22" s="14">
        <f t="shared" si="15"/>
        <v>57524</v>
      </c>
      <c r="AA22" s="14">
        <f t="shared" si="15"/>
        <v>57524</v>
      </c>
      <c r="AB22" s="14">
        <f t="shared" si="15"/>
        <v>57524</v>
      </c>
      <c r="AC22" s="14">
        <f t="shared" si="15"/>
        <v>57524</v>
      </c>
      <c r="AD22" s="14">
        <f t="shared" si="15"/>
        <v>57524</v>
      </c>
      <c r="AE22" s="14">
        <f>AD22</f>
        <v>57524</v>
      </c>
      <c r="AF22" s="14">
        <f t="shared" si="15"/>
        <v>57524</v>
      </c>
      <c r="AG22" s="14">
        <f t="shared" si="15"/>
        <v>57524</v>
      </c>
      <c r="AH22" s="14">
        <f>AG22</f>
        <v>57524</v>
      </c>
      <c r="AI22" s="14">
        <f>AH22</f>
        <v>57524</v>
      </c>
    </row>
    <row r="23" spans="1:35" s="1" customFormat="1" ht="24.75" customHeight="1" x14ac:dyDescent="0.25">
      <c r="B23" s="16" t="s">
        <v>272</v>
      </c>
      <c r="C23" s="2" t="s">
        <v>21</v>
      </c>
      <c r="D23" s="442">
        <v>0.09</v>
      </c>
      <c r="E23" s="442">
        <v>0.09</v>
      </c>
      <c r="F23" s="443">
        <v>0.09</v>
      </c>
      <c r="G23" s="442">
        <v>0.09</v>
      </c>
      <c r="H23" s="442">
        <v>0.09</v>
      </c>
      <c r="I23" s="442">
        <v>0.09</v>
      </c>
      <c r="J23" s="442">
        <v>0.09</v>
      </c>
      <c r="K23" s="442">
        <v>0.09</v>
      </c>
      <c r="L23" s="442">
        <v>0.09</v>
      </c>
      <c r="M23" s="442">
        <v>0.09</v>
      </c>
      <c r="N23" s="442">
        <v>0.09</v>
      </c>
      <c r="O23" s="442">
        <v>0.09</v>
      </c>
      <c r="P23" s="442">
        <v>0.09</v>
      </c>
      <c r="Q23" s="442">
        <v>0.09</v>
      </c>
      <c r="R23" s="442">
        <v>0.09</v>
      </c>
      <c r="S23" s="442">
        <v>0.09</v>
      </c>
      <c r="T23" s="442">
        <v>0.09</v>
      </c>
      <c r="U23" s="442">
        <v>0.09</v>
      </c>
      <c r="V23" s="442">
        <v>0.09</v>
      </c>
      <c r="W23" s="442">
        <v>0.09</v>
      </c>
      <c r="X23" s="442">
        <v>0.09</v>
      </c>
      <c r="Y23" s="442">
        <v>0.09</v>
      </c>
      <c r="Z23" s="442">
        <v>0.09</v>
      </c>
      <c r="AA23" s="442">
        <v>0.09</v>
      </c>
      <c r="AB23" s="442">
        <v>0.09</v>
      </c>
      <c r="AC23" s="442">
        <v>0.09</v>
      </c>
      <c r="AD23" s="442">
        <v>0.09</v>
      </c>
      <c r="AE23" s="442">
        <v>0.09</v>
      </c>
      <c r="AF23" s="442">
        <v>0.09</v>
      </c>
      <c r="AG23" s="442">
        <v>0.09</v>
      </c>
      <c r="AH23" s="442">
        <v>0.09</v>
      </c>
      <c r="AI23" s="442">
        <v>0.09</v>
      </c>
    </row>
    <row r="24" spans="1:35" s="51" customFormat="1" ht="13.5" x14ac:dyDescent="0.25">
      <c r="B24" s="59" t="s">
        <v>264</v>
      </c>
      <c r="C24" s="7" t="s">
        <v>10</v>
      </c>
      <c r="D24" s="57">
        <f>ROUND(D14/D13,2)</f>
        <v>5.47</v>
      </c>
      <c r="E24" s="57">
        <f t="shared" ref="E24:AI24" si="16">ROUND(E14/E13,2)</f>
        <v>5.47</v>
      </c>
      <c r="F24" s="58">
        <f t="shared" si="16"/>
        <v>5.47</v>
      </c>
      <c r="G24" s="57">
        <f t="shared" si="16"/>
        <v>5.47</v>
      </c>
      <c r="H24" s="57">
        <f t="shared" si="16"/>
        <v>5.47</v>
      </c>
      <c r="I24" s="57">
        <f t="shared" si="16"/>
        <v>5.47</v>
      </c>
      <c r="J24" s="57">
        <f t="shared" si="16"/>
        <v>5.47</v>
      </c>
      <c r="K24" s="57">
        <f t="shared" si="16"/>
        <v>5.47</v>
      </c>
      <c r="L24" s="57">
        <f t="shared" si="16"/>
        <v>5.47</v>
      </c>
      <c r="M24" s="57">
        <f t="shared" si="16"/>
        <v>5.47</v>
      </c>
      <c r="N24" s="57">
        <f t="shared" si="16"/>
        <v>5.47</v>
      </c>
      <c r="O24" s="57">
        <f t="shared" si="16"/>
        <v>5.47</v>
      </c>
      <c r="P24" s="57">
        <f t="shared" si="16"/>
        <v>5.47</v>
      </c>
      <c r="Q24" s="57">
        <f t="shared" si="16"/>
        <v>5.47</v>
      </c>
      <c r="R24" s="57">
        <f t="shared" si="16"/>
        <v>5.47</v>
      </c>
      <c r="S24" s="57">
        <f t="shared" si="16"/>
        <v>5.47</v>
      </c>
      <c r="T24" s="57">
        <f t="shared" si="16"/>
        <v>5.47</v>
      </c>
      <c r="U24" s="57">
        <f t="shared" si="16"/>
        <v>5.47</v>
      </c>
      <c r="V24" s="57">
        <f t="shared" si="16"/>
        <v>5.47</v>
      </c>
      <c r="W24" s="57">
        <f t="shared" si="16"/>
        <v>5.47</v>
      </c>
      <c r="X24" s="57">
        <f t="shared" si="16"/>
        <v>5.47</v>
      </c>
      <c r="Y24" s="57">
        <f t="shared" si="16"/>
        <v>5.47</v>
      </c>
      <c r="Z24" s="57">
        <f t="shared" si="16"/>
        <v>5.47</v>
      </c>
      <c r="AA24" s="57">
        <f t="shared" si="16"/>
        <v>5.47</v>
      </c>
      <c r="AB24" s="57">
        <f t="shared" si="16"/>
        <v>5.47</v>
      </c>
      <c r="AC24" s="57">
        <f t="shared" si="16"/>
        <v>5.47</v>
      </c>
      <c r="AD24" s="57">
        <f t="shared" si="16"/>
        <v>5.47</v>
      </c>
      <c r="AE24" s="57">
        <f t="shared" si="16"/>
        <v>5.47</v>
      </c>
      <c r="AF24" s="57">
        <f t="shared" si="16"/>
        <v>5.47</v>
      </c>
      <c r="AG24" s="57">
        <f t="shared" si="16"/>
        <v>5.47</v>
      </c>
      <c r="AH24" s="57">
        <f t="shared" si="16"/>
        <v>5.47</v>
      </c>
      <c r="AI24" s="57">
        <f t="shared" si="16"/>
        <v>5.47</v>
      </c>
    </row>
    <row r="25" spans="1:35" s="1" customFormat="1" ht="27" x14ac:dyDescent="0.25">
      <c r="B25" s="13" t="s">
        <v>275</v>
      </c>
      <c r="C25" s="2" t="s">
        <v>12</v>
      </c>
      <c r="D25" s="14">
        <v>3431</v>
      </c>
      <c r="E25" s="14">
        <f t="shared" ref="E25:T28" si="17">D25</f>
        <v>3431</v>
      </c>
      <c r="F25" s="15">
        <f t="shared" si="17"/>
        <v>3431</v>
      </c>
      <c r="G25" s="14">
        <f t="shared" si="17"/>
        <v>3431</v>
      </c>
      <c r="H25" s="14">
        <f t="shared" si="17"/>
        <v>3431</v>
      </c>
      <c r="I25" s="14">
        <f t="shared" si="17"/>
        <v>3431</v>
      </c>
      <c r="J25" s="14">
        <f t="shared" si="17"/>
        <v>3431</v>
      </c>
      <c r="K25" s="14">
        <f t="shared" si="17"/>
        <v>3431</v>
      </c>
      <c r="L25" s="14">
        <f t="shared" si="17"/>
        <v>3431</v>
      </c>
      <c r="M25" s="14">
        <f t="shared" si="17"/>
        <v>3431</v>
      </c>
      <c r="N25" s="14">
        <f t="shared" si="17"/>
        <v>3431</v>
      </c>
      <c r="O25" s="14">
        <f t="shared" si="17"/>
        <v>3431</v>
      </c>
      <c r="P25" s="14">
        <f t="shared" si="17"/>
        <v>3431</v>
      </c>
      <c r="Q25" s="14">
        <f t="shared" si="17"/>
        <v>3431</v>
      </c>
      <c r="R25" s="14">
        <f t="shared" si="17"/>
        <v>3431</v>
      </c>
      <c r="S25" s="14">
        <f t="shared" si="17"/>
        <v>3431</v>
      </c>
      <c r="T25" s="14">
        <f t="shared" si="17"/>
        <v>3431</v>
      </c>
      <c r="U25" s="14">
        <f t="shared" ref="U25:AG28" si="18">T25</f>
        <v>3431</v>
      </c>
      <c r="V25" s="14">
        <f t="shared" si="18"/>
        <v>3431</v>
      </c>
      <c r="W25" s="14">
        <f t="shared" si="18"/>
        <v>3431</v>
      </c>
      <c r="X25" s="14">
        <f t="shared" si="18"/>
        <v>3431</v>
      </c>
      <c r="Y25" s="14">
        <f t="shared" si="18"/>
        <v>3431</v>
      </c>
      <c r="Z25" s="14">
        <f t="shared" si="18"/>
        <v>3431</v>
      </c>
      <c r="AA25" s="14">
        <f t="shared" si="18"/>
        <v>3431</v>
      </c>
      <c r="AB25" s="14">
        <f t="shared" si="18"/>
        <v>3431</v>
      </c>
      <c r="AC25" s="14">
        <f t="shared" si="18"/>
        <v>3431</v>
      </c>
      <c r="AD25" s="14">
        <f t="shared" si="18"/>
        <v>3431</v>
      </c>
      <c r="AE25" s="14">
        <f>AD25</f>
        <v>3431</v>
      </c>
      <c r="AF25" s="14">
        <f t="shared" si="18"/>
        <v>3431</v>
      </c>
      <c r="AG25" s="14">
        <f t="shared" si="18"/>
        <v>3431</v>
      </c>
      <c r="AH25" s="14">
        <f t="shared" ref="AH25:AI28" si="19">AG25</f>
        <v>3431</v>
      </c>
      <c r="AI25" s="14">
        <f t="shared" si="19"/>
        <v>3431</v>
      </c>
    </row>
    <row r="26" spans="1:35" s="1" customFormat="1" ht="13.5" x14ac:dyDescent="0.25">
      <c r="B26" s="13" t="s">
        <v>271</v>
      </c>
      <c r="C26" s="2" t="s">
        <v>13</v>
      </c>
      <c r="D26" s="442">
        <v>1.04</v>
      </c>
      <c r="E26" s="442">
        <v>1.04</v>
      </c>
      <c r="F26" s="443">
        <v>1.04</v>
      </c>
      <c r="G26" s="442">
        <v>1.04</v>
      </c>
      <c r="H26" s="442">
        <v>1.04</v>
      </c>
      <c r="I26" s="442">
        <v>1.04</v>
      </c>
      <c r="J26" s="442">
        <v>1.04</v>
      </c>
      <c r="K26" s="442">
        <v>1.04</v>
      </c>
      <c r="L26" s="442">
        <v>1.04</v>
      </c>
      <c r="M26" s="442">
        <v>1.04</v>
      </c>
      <c r="N26" s="442">
        <v>1.04</v>
      </c>
      <c r="O26" s="442">
        <v>1.04</v>
      </c>
      <c r="P26" s="442">
        <v>1.04</v>
      </c>
      <c r="Q26" s="442">
        <v>1.04</v>
      </c>
      <c r="R26" s="442">
        <v>1.04</v>
      </c>
      <c r="S26" s="442">
        <v>1.04</v>
      </c>
      <c r="T26" s="442">
        <v>1.04</v>
      </c>
      <c r="U26" s="442">
        <v>1.04</v>
      </c>
      <c r="V26" s="442">
        <v>1.04</v>
      </c>
      <c r="W26" s="442">
        <v>1.04</v>
      </c>
      <c r="X26" s="442">
        <v>1.04</v>
      </c>
      <c r="Y26" s="442">
        <v>1.04</v>
      </c>
      <c r="Z26" s="442">
        <v>1.04</v>
      </c>
      <c r="AA26" s="442">
        <v>1.04</v>
      </c>
      <c r="AB26" s="442">
        <v>1.04</v>
      </c>
      <c r="AC26" s="442">
        <v>1.04</v>
      </c>
      <c r="AD26" s="442">
        <v>1.04</v>
      </c>
      <c r="AE26" s="442">
        <v>1.04</v>
      </c>
      <c r="AF26" s="442">
        <v>1.04</v>
      </c>
      <c r="AG26" s="442">
        <v>1.04</v>
      </c>
      <c r="AH26" s="442">
        <v>1.04</v>
      </c>
      <c r="AI26" s="442">
        <v>1.04</v>
      </c>
    </row>
    <row r="27" spans="1:35" s="1" customFormat="1" ht="27" x14ac:dyDescent="0.25">
      <c r="B27" s="13" t="s">
        <v>276</v>
      </c>
      <c r="C27" s="2" t="s">
        <v>12</v>
      </c>
      <c r="D27" s="14">
        <v>31107</v>
      </c>
      <c r="E27" s="14">
        <f t="shared" si="17"/>
        <v>31107</v>
      </c>
      <c r="F27" s="15">
        <f t="shared" si="17"/>
        <v>31107</v>
      </c>
      <c r="G27" s="14">
        <f t="shared" si="17"/>
        <v>31107</v>
      </c>
      <c r="H27" s="14">
        <f t="shared" si="17"/>
        <v>31107</v>
      </c>
      <c r="I27" s="14">
        <f t="shared" si="17"/>
        <v>31107</v>
      </c>
      <c r="J27" s="14">
        <f t="shared" si="17"/>
        <v>31107</v>
      </c>
      <c r="K27" s="14">
        <f t="shared" si="17"/>
        <v>31107</v>
      </c>
      <c r="L27" s="14">
        <f t="shared" si="17"/>
        <v>31107</v>
      </c>
      <c r="M27" s="14">
        <f t="shared" si="17"/>
        <v>31107</v>
      </c>
      <c r="N27" s="14">
        <f t="shared" si="17"/>
        <v>31107</v>
      </c>
      <c r="O27" s="14">
        <f t="shared" si="17"/>
        <v>31107</v>
      </c>
      <c r="P27" s="14">
        <f t="shared" si="17"/>
        <v>31107</v>
      </c>
      <c r="Q27" s="14">
        <f t="shared" si="17"/>
        <v>31107</v>
      </c>
      <c r="R27" s="14">
        <f t="shared" si="17"/>
        <v>31107</v>
      </c>
      <c r="S27" s="14">
        <f t="shared" si="17"/>
        <v>31107</v>
      </c>
      <c r="T27" s="14">
        <f t="shared" si="17"/>
        <v>31107</v>
      </c>
      <c r="U27" s="14">
        <f t="shared" si="18"/>
        <v>31107</v>
      </c>
      <c r="V27" s="14">
        <f t="shared" si="18"/>
        <v>31107</v>
      </c>
      <c r="W27" s="14">
        <f t="shared" si="18"/>
        <v>31107</v>
      </c>
      <c r="X27" s="14">
        <f t="shared" si="18"/>
        <v>31107</v>
      </c>
      <c r="Y27" s="14">
        <f t="shared" si="18"/>
        <v>31107</v>
      </c>
      <c r="Z27" s="14">
        <f t="shared" si="18"/>
        <v>31107</v>
      </c>
      <c r="AA27" s="14">
        <f t="shared" si="18"/>
        <v>31107</v>
      </c>
      <c r="AB27" s="14">
        <f t="shared" si="18"/>
        <v>31107</v>
      </c>
      <c r="AC27" s="14">
        <f t="shared" si="18"/>
        <v>31107</v>
      </c>
      <c r="AD27" s="14">
        <f t="shared" si="18"/>
        <v>31107</v>
      </c>
      <c r="AE27" s="14">
        <f t="shared" si="18"/>
        <v>31107</v>
      </c>
      <c r="AF27" s="14">
        <f t="shared" si="18"/>
        <v>31107</v>
      </c>
      <c r="AG27" s="14">
        <f t="shared" si="18"/>
        <v>31107</v>
      </c>
      <c r="AH27" s="14">
        <f t="shared" si="19"/>
        <v>31107</v>
      </c>
      <c r="AI27" s="14">
        <f t="shared" si="19"/>
        <v>31107</v>
      </c>
    </row>
    <row r="28" spans="1:35" s="1" customFormat="1" ht="27" x14ac:dyDescent="0.25">
      <c r="B28" s="13" t="s">
        <v>273</v>
      </c>
      <c r="C28" s="2" t="s">
        <v>13</v>
      </c>
      <c r="D28" s="442">
        <v>0.17</v>
      </c>
      <c r="E28" s="442">
        <f t="shared" si="17"/>
        <v>0.17</v>
      </c>
      <c r="F28" s="443">
        <f t="shared" si="17"/>
        <v>0.17</v>
      </c>
      <c r="G28" s="442">
        <f t="shared" si="17"/>
        <v>0.17</v>
      </c>
      <c r="H28" s="442">
        <f t="shared" si="17"/>
        <v>0.17</v>
      </c>
      <c r="I28" s="442">
        <f t="shared" si="17"/>
        <v>0.17</v>
      </c>
      <c r="J28" s="442">
        <f t="shared" si="17"/>
        <v>0.17</v>
      </c>
      <c r="K28" s="442">
        <f t="shared" si="17"/>
        <v>0.17</v>
      </c>
      <c r="L28" s="442">
        <f t="shared" si="17"/>
        <v>0.17</v>
      </c>
      <c r="M28" s="442">
        <f t="shared" si="17"/>
        <v>0.17</v>
      </c>
      <c r="N28" s="442">
        <f t="shared" si="17"/>
        <v>0.17</v>
      </c>
      <c r="O28" s="442">
        <f t="shared" si="17"/>
        <v>0.17</v>
      </c>
      <c r="P28" s="442">
        <f t="shared" si="17"/>
        <v>0.17</v>
      </c>
      <c r="Q28" s="442">
        <f t="shared" si="17"/>
        <v>0.17</v>
      </c>
      <c r="R28" s="442">
        <f t="shared" si="17"/>
        <v>0.17</v>
      </c>
      <c r="S28" s="442">
        <f t="shared" si="17"/>
        <v>0.17</v>
      </c>
      <c r="T28" s="442">
        <f t="shared" si="17"/>
        <v>0.17</v>
      </c>
      <c r="U28" s="442">
        <f t="shared" si="18"/>
        <v>0.17</v>
      </c>
      <c r="V28" s="442">
        <f t="shared" si="18"/>
        <v>0.17</v>
      </c>
      <c r="W28" s="442">
        <f t="shared" si="18"/>
        <v>0.17</v>
      </c>
      <c r="X28" s="442">
        <f t="shared" si="18"/>
        <v>0.17</v>
      </c>
      <c r="Y28" s="442">
        <f t="shared" si="18"/>
        <v>0.17</v>
      </c>
      <c r="Z28" s="442">
        <f t="shared" si="18"/>
        <v>0.17</v>
      </c>
      <c r="AA28" s="442">
        <f t="shared" si="18"/>
        <v>0.17</v>
      </c>
      <c r="AB28" s="442">
        <f t="shared" si="18"/>
        <v>0.17</v>
      </c>
      <c r="AC28" s="442">
        <f t="shared" si="18"/>
        <v>0.17</v>
      </c>
      <c r="AD28" s="442">
        <f t="shared" si="18"/>
        <v>0.17</v>
      </c>
      <c r="AE28" s="442">
        <f t="shared" si="18"/>
        <v>0.17</v>
      </c>
      <c r="AF28" s="442">
        <f t="shared" si="18"/>
        <v>0.17</v>
      </c>
      <c r="AG28" s="442">
        <f t="shared" si="18"/>
        <v>0.17</v>
      </c>
      <c r="AH28" s="442">
        <f t="shared" si="19"/>
        <v>0.17</v>
      </c>
      <c r="AI28" s="442">
        <f t="shared" si="19"/>
        <v>0.17</v>
      </c>
    </row>
    <row r="29" spans="1:35" s="1" customFormat="1" ht="13.5" x14ac:dyDescent="0.25">
      <c r="B29" s="20" t="s">
        <v>14</v>
      </c>
      <c r="C29" s="2"/>
      <c r="D29" s="64"/>
      <c r="E29" s="64"/>
      <c r="F29" s="65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1:35" s="1" customFormat="1" ht="13.5" x14ac:dyDescent="0.25">
      <c r="B30" s="60" t="s">
        <v>15</v>
      </c>
      <c r="C30" s="2"/>
      <c r="D30" s="64"/>
      <c r="E30" s="64"/>
      <c r="F30" s="65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</row>
    <row r="31" spans="1:35" s="51" customFormat="1" ht="13.5" x14ac:dyDescent="0.25">
      <c r="A31" s="51">
        <v>1</v>
      </c>
      <c r="B31" s="61" t="s">
        <v>145</v>
      </c>
      <c r="C31" s="7" t="s">
        <v>16</v>
      </c>
      <c r="D31" s="57">
        <f>ROUND((385862+47261+26460+14378+520000+12186834+3300+153737+39669+485944.16)*(1+0.5306),0)</f>
        <v>21219389</v>
      </c>
      <c r="E31" s="57">
        <f>D31</f>
        <v>21219389</v>
      </c>
      <c r="F31" s="58">
        <f>E31</f>
        <v>21219389</v>
      </c>
      <c r="G31" s="57">
        <f>F31</f>
        <v>21219389</v>
      </c>
      <c r="H31" s="57">
        <f t="shared" ref="H31:AI31" si="20">G31</f>
        <v>21219389</v>
      </c>
      <c r="I31" s="57">
        <f t="shared" si="20"/>
        <v>21219389</v>
      </c>
      <c r="J31" s="57">
        <f t="shared" si="20"/>
        <v>21219389</v>
      </c>
      <c r="K31" s="57">
        <f t="shared" si="20"/>
        <v>21219389</v>
      </c>
      <c r="L31" s="57">
        <f t="shared" si="20"/>
        <v>21219389</v>
      </c>
      <c r="M31" s="57">
        <f t="shared" si="20"/>
        <v>21219389</v>
      </c>
      <c r="N31" s="57">
        <f t="shared" si="20"/>
        <v>21219389</v>
      </c>
      <c r="O31" s="57">
        <f t="shared" si="20"/>
        <v>21219389</v>
      </c>
      <c r="P31" s="57">
        <f t="shared" si="20"/>
        <v>21219389</v>
      </c>
      <c r="Q31" s="57">
        <f t="shared" si="20"/>
        <v>21219389</v>
      </c>
      <c r="R31" s="57">
        <f t="shared" si="20"/>
        <v>21219389</v>
      </c>
      <c r="S31" s="57">
        <f t="shared" si="20"/>
        <v>21219389</v>
      </c>
      <c r="T31" s="57">
        <f t="shared" si="20"/>
        <v>21219389</v>
      </c>
      <c r="U31" s="57">
        <f t="shared" si="20"/>
        <v>21219389</v>
      </c>
      <c r="V31" s="57">
        <f t="shared" si="20"/>
        <v>21219389</v>
      </c>
      <c r="W31" s="57">
        <f t="shared" si="20"/>
        <v>21219389</v>
      </c>
      <c r="X31" s="57">
        <f t="shared" si="20"/>
        <v>21219389</v>
      </c>
      <c r="Y31" s="57">
        <f t="shared" si="20"/>
        <v>21219389</v>
      </c>
      <c r="Z31" s="57">
        <f t="shared" si="20"/>
        <v>21219389</v>
      </c>
      <c r="AA31" s="57">
        <f t="shared" si="20"/>
        <v>21219389</v>
      </c>
      <c r="AB31" s="57">
        <f t="shared" si="20"/>
        <v>21219389</v>
      </c>
      <c r="AC31" s="57">
        <f t="shared" si="20"/>
        <v>21219389</v>
      </c>
      <c r="AD31" s="57">
        <f t="shared" si="20"/>
        <v>21219389</v>
      </c>
      <c r="AE31" s="57">
        <f t="shared" si="20"/>
        <v>21219389</v>
      </c>
      <c r="AF31" s="57">
        <f t="shared" si="20"/>
        <v>21219389</v>
      </c>
      <c r="AG31" s="57">
        <f t="shared" si="20"/>
        <v>21219389</v>
      </c>
      <c r="AH31" s="57">
        <f t="shared" si="20"/>
        <v>21219389</v>
      </c>
      <c r="AI31" s="57">
        <f t="shared" si="20"/>
        <v>21219389</v>
      </c>
    </row>
    <row r="32" spans="1:35" s="51" customFormat="1" ht="13.5" x14ac:dyDescent="0.25">
      <c r="A32" s="51">
        <v>2</v>
      </c>
      <c r="B32" s="61" t="s">
        <v>295</v>
      </c>
      <c r="C32" s="7" t="s">
        <v>16</v>
      </c>
      <c r="D32" s="57">
        <f>ROUND((323345+10581+174601+239841+490000+1033642+9960502+367416+422738+754800+264337+18000)*(1+0.1625),0)</f>
        <v>16344521</v>
      </c>
      <c r="E32" s="57">
        <f>ROUND(D32*(1+L8),0)</f>
        <v>16524311</v>
      </c>
      <c r="F32" s="58">
        <f>ROUND(E32*(1+M8),0)</f>
        <v>16887846</v>
      </c>
      <c r="G32" s="57">
        <f t="shared" ref="G32:G38" si="21">F32</f>
        <v>16887846</v>
      </c>
      <c r="H32" s="57">
        <f t="shared" ref="H32:AI32" si="22">G32</f>
        <v>16887846</v>
      </c>
      <c r="I32" s="57">
        <f t="shared" si="22"/>
        <v>16887846</v>
      </c>
      <c r="J32" s="57">
        <f t="shared" si="22"/>
        <v>16887846</v>
      </c>
      <c r="K32" s="57">
        <f t="shared" si="22"/>
        <v>16887846</v>
      </c>
      <c r="L32" s="57">
        <f t="shared" si="22"/>
        <v>16887846</v>
      </c>
      <c r="M32" s="57">
        <f t="shared" si="22"/>
        <v>16887846</v>
      </c>
      <c r="N32" s="57">
        <f t="shared" si="22"/>
        <v>16887846</v>
      </c>
      <c r="O32" s="57">
        <f t="shared" si="22"/>
        <v>16887846</v>
      </c>
      <c r="P32" s="57">
        <f t="shared" si="22"/>
        <v>16887846</v>
      </c>
      <c r="Q32" s="57">
        <f t="shared" si="22"/>
        <v>16887846</v>
      </c>
      <c r="R32" s="57">
        <f t="shared" si="22"/>
        <v>16887846</v>
      </c>
      <c r="S32" s="57">
        <f t="shared" si="22"/>
        <v>16887846</v>
      </c>
      <c r="T32" s="57">
        <f t="shared" si="22"/>
        <v>16887846</v>
      </c>
      <c r="U32" s="57">
        <f t="shared" si="22"/>
        <v>16887846</v>
      </c>
      <c r="V32" s="57">
        <f t="shared" si="22"/>
        <v>16887846</v>
      </c>
      <c r="W32" s="57">
        <f t="shared" si="22"/>
        <v>16887846</v>
      </c>
      <c r="X32" s="57">
        <f t="shared" si="22"/>
        <v>16887846</v>
      </c>
      <c r="Y32" s="57">
        <f t="shared" si="22"/>
        <v>16887846</v>
      </c>
      <c r="Z32" s="57">
        <f t="shared" si="22"/>
        <v>16887846</v>
      </c>
      <c r="AA32" s="57">
        <f t="shared" si="22"/>
        <v>16887846</v>
      </c>
      <c r="AB32" s="57">
        <f t="shared" si="22"/>
        <v>16887846</v>
      </c>
      <c r="AC32" s="57">
        <f t="shared" si="22"/>
        <v>16887846</v>
      </c>
      <c r="AD32" s="57">
        <f t="shared" si="22"/>
        <v>16887846</v>
      </c>
      <c r="AE32" s="57">
        <f t="shared" si="22"/>
        <v>16887846</v>
      </c>
      <c r="AF32" s="57">
        <f t="shared" si="22"/>
        <v>16887846</v>
      </c>
      <c r="AG32" s="57">
        <f t="shared" si="22"/>
        <v>16887846</v>
      </c>
      <c r="AH32" s="57">
        <f t="shared" si="22"/>
        <v>16887846</v>
      </c>
      <c r="AI32" s="57">
        <f t="shared" si="22"/>
        <v>16887846</v>
      </c>
    </row>
    <row r="33" spans="1:35" s="51" customFormat="1" ht="13.5" x14ac:dyDescent="0.25">
      <c r="A33" s="51">
        <v>3</v>
      </c>
      <c r="B33" s="61" t="s">
        <v>296</v>
      </c>
      <c r="C33" s="7" t="s">
        <v>16</v>
      </c>
      <c r="D33" s="57">
        <f>ROUND((206745+3280+130000+77614+300000+290378+1793194+201344+280660+210427+166907+87750)*(1+0.1625),0)</f>
        <v>4357398</v>
      </c>
      <c r="E33" s="57">
        <f>ROUND(D33*(1+L7),0)</f>
        <v>4357398</v>
      </c>
      <c r="F33" s="58">
        <f>ROUND(E33*(1+$M$7),0)</f>
        <v>4409687</v>
      </c>
      <c r="G33" s="57">
        <f t="shared" si="21"/>
        <v>4409687</v>
      </c>
      <c r="H33" s="57">
        <f t="shared" ref="H33:AI33" si="23">G33</f>
        <v>4409687</v>
      </c>
      <c r="I33" s="57">
        <f t="shared" si="23"/>
        <v>4409687</v>
      </c>
      <c r="J33" s="57">
        <f t="shared" si="23"/>
        <v>4409687</v>
      </c>
      <c r="K33" s="57">
        <f t="shared" si="23"/>
        <v>4409687</v>
      </c>
      <c r="L33" s="57">
        <f t="shared" si="23"/>
        <v>4409687</v>
      </c>
      <c r="M33" s="57">
        <f t="shared" si="23"/>
        <v>4409687</v>
      </c>
      <c r="N33" s="57">
        <f t="shared" si="23"/>
        <v>4409687</v>
      </c>
      <c r="O33" s="57">
        <f t="shared" si="23"/>
        <v>4409687</v>
      </c>
      <c r="P33" s="57">
        <f t="shared" si="23"/>
        <v>4409687</v>
      </c>
      <c r="Q33" s="57">
        <f t="shared" si="23"/>
        <v>4409687</v>
      </c>
      <c r="R33" s="57">
        <f t="shared" si="23"/>
        <v>4409687</v>
      </c>
      <c r="S33" s="57">
        <f t="shared" si="23"/>
        <v>4409687</v>
      </c>
      <c r="T33" s="57">
        <f t="shared" si="23"/>
        <v>4409687</v>
      </c>
      <c r="U33" s="57">
        <f t="shared" si="23"/>
        <v>4409687</v>
      </c>
      <c r="V33" s="57">
        <f t="shared" si="23"/>
        <v>4409687</v>
      </c>
      <c r="W33" s="57">
        <f t="shared" si="23"/>
        <v>4409687</v>
      </c>
      <c r="X33" s="57">
        <f t="shared" si="23"/>
        <v>4409687</v>
      </c>
      <c r="Y33" s="57">
        <f t="shared" si="23"/>
        <v>4409687</v>
      </c>
      <c r="Z33" s="57">
        <f t="shared" si="23"/>
        <v>4409687</v>
      </c>
      <c r="AA33" s="57">
        <f t="shared" si="23"/>
        <v>4409687</v>
      </c>
      <c r="AB33" s="57">
        <f t="shared" si="23"/>
        <v>4409687</v>
      </c>
      <c r="AC33" s="57">
        <f t="shared" si="23"/>
        <v>4409687</v>
      </c>
      <c r="AD33" s="57">
        <f t="shared" si="23"/>
        <v>4409687</v>
      </c>
      <c r="AE33" s="57">
        <f t="shared" si="23"/>
        <v>4409687</v>
      </c>
      <c r="AF33" s="57">
        <f t="shared" si="23"/>
        <v>4409687</v>
      </c>
      <c r="AG33" s="57">
        <f t="shared" si="23"/>
        <v>4409687</v>
      </c>
      <c r="AH33" s="57">
        <f t="shared" si="23"/>
        <v>4409687</v>
      </c>
      <c r="AI33" s="57">
        <f t="shared" si="23"/>
        <v>4409687</v>
      </c>
    </row>
    <row r="34" spans="1:35" s="51" customFormat="1" ht="13.5" x14ac:dyDescent="0.25">
      <c r="A34" s="51">
        <v>4</v>
      </c>
      <c r="B34" s="62" t="s">
        <v>294</v>
      </c>
      <c r="C34" s="7" t="s">
        <v>16</v>
      </c>
      <c r="D34" s="57">
        <f>ROUND((290296+6607+155000+159488+250000+393040+2847871+401490+293740+167101+167101+163900)*(1+0.1625),0)</f>
        <v>6156175</v>
      </c>
      <c r="E34" s="57">
        <f>ROUND(D34*(1+$L$7),0)</f>
        <v>6156175</v>
      </c>
      <c r="F34" s="58">
        <f t="shared" ref="F34:F38" si="24">ROUND(E34*(1+$M$7),0)</f>
        <v>6230049</v>
      </c>
      <c r="G34" s="57">
        <f t="shared" si="21"/>
        <v>6230049</v>
      </c>
      <c r="H34" s="57">
        <f t="shared" ref="H34:AI34" si="25">G34</f>
        <v>6230049</v>
      </c>
      <c r="I34" s="57">
        <f t="shared" si="25"/>
        <v>6230049</v>
      </c>
      <c r="J34" s="57">
        <f t="shared" si="25"/>
        <v>6230049</v>
      </c>
      <c r="K34" s="57">
        <f t="shared" si="25"/>
        <v>6230049</v>
      </c>
      <c r="L34" s="57">
        <f t="shared" si="25"/>
        <v>6230049</v>
      </c>
      <c r="M34" s="57">
        <f t="shared" si="25"/>
        <v>6230049</v>
      </c>
      <c r="N34" s="57">
        <f t="shared" si="25"/>
        <v>6230049</v>
      </c>
      <c r="O34" s="57">
        <f t="shared" si="25"/>
        <v>6230049</v>
      </c>
      <c r="P34" s="57">
        <f t="shared" si="25"/>
        <v>6230049</v>
      </c>
      <c r="Q34" s="57">
        <f t="shared" si="25"/>
        <v>6230049</v>
      </c>
      <c r="R34" s="57">
        <f t="shared" si="25"/>
        <v>6230049</v>
      </c>
      <c r="S34" s="57">
        <f t="shared" si="25"/>
        <v>6230049</v>
      </c>
      <c r="T34" s="57">
        <f t="shared" si="25"/>
        <v>6230049</v>
      </c>
      <c r="U34" s="57">
        <f t="shared" si="25"/>
        <v>6230049</v>
      </c>
      <c r="V34" s="57">
        <f t="shared" si="25"/>
        <v>6230049</v>
      </c>
      <c r="W34" s="57">
        <f t="shared" si="25"/>
        <v>6230049</v>
      </c>
      <c r="X34" s="57">
        <f t="shared" si="25"/>
        <v>6230049</v>
      </c>
      <c r="Y34" s="57">
        <f t="shared" si="25"/>
        <v>6230049</v>
      </c>
      <c r="Z34" s="57">
        <f t="shared" si="25"/>
        <v>6230049</v>
      </c>
      <c r="AA34" s="57">
        <f t="shared" si="25"/>
        <v>6230049</v>
      </c>
      <c r="AB34" s="57">
        <f t="shared" si="25"/>
        <v>6230049</v>
      </c>
      <c r="AC34" s="57">
        <f t="shared" si="25"/>
        <v>6230049</v>
      </c>
      <c r="AD34" s="57">
        <f t="shared" si="25"/>
        <v>6230049</v>
      </c>
      <c r="AE34" s="57">
        <f t="shared" si="25"/>
        <v>6230049</v>
      </c>
      <c r="AF34" s="57">
        <f t="shared" si="25"/>
        <v>6230049</v>
      </c>
      <c r="AG34" s="57">
        <f t="shared" si="25"/>
        <v>6230049</v>
      </c>
      <c r="AH34" s="57">
        <f t="shared" si="25"/>
        <v>6230049</v>
      </c>
      <c r="AI34" s="57">
        <f t="shared" si="25"/>
        <v>6230049</v>
      </c>
    </row>
    <row r="35" spans="1:35" s="51" customFormat="1" ht="13.5" x14ac:dyDescent="0.25">
      <c r="A35" s="51">
        <v>5</v>
      </c>
      <c r="B35" s="62" t="s">
        <v>18</v>
      </c>
      <c r="C35" s="7" t="s">
        <v>16</v>
      </c>
      <c r="D35" s="57">
        <f>ROUND((37900+189218+841+4720+25000+84318+24809+4144+90000+85000+79730+287897+405315+3610394+41600+55108+20000+19000+49713+19000+6921+13000)*(1+0.5306),0)</f>
        <v>7888143</v>
      </c>
      <c r="E35" s="57">
        <f t="shared" ref="E35:E38" si="26">ROUND(D35*(1+$L$7),0)</f>
        <v>7888143</v>
      </c>
      <c r="F35" s="58">
        <f t="shared" si="24"/>
        <v>7982801</v>
      </c>
      <c r="G35" s="57">
        <f t="shared" si="21"/>
        <v>7982801</v>
      </c>
      <c r="H35" s="57">
        <f t="shared" ref="H35:AI35" si="27">G35</f>
        <v>7982801</v>
      </c>
      <c r="I35" s="57">
        <f t="shared" si="27"/>
        <v>7982801</v>
      </c>
      <c r="J35" s="57">
        <f t="shared" si="27"/>
        <v>7982801</v>
      </c>
      <c r="K35" s="57">
        <f t="shared" si="27"/>
        <v>7982801</v>
      </c>
      <c r="L35" s="57">
        <f t="shared" si="27"/>
        <v>7982801</v>
      </c>
      <c r="M35" s="57">
        <f t="shared" si="27"/>
        <v>7982801</v>
      </c>
      <c r="N35" s="57">
        <f t="shared" si="27"/>
        <v>7982801</v>
      </c>
      <c r="O35" s="57">
        <f t="shared" si="27"/>
        <v>7982801</v>
      </c>
      <c r="P35" s="57">
        <f t="shared" si="27"/>
        <v>7982801</v>
      </c>
      <c r="Q35" s="57">
        <f t="shared" si="27"/>
        <v>7982801</v>
      </c>
      <c r="R35" s="57">
        <f t="shared" si="27"/>
        <v>7982801</v>
      </c>
      <c r="S35" s="57">
        <f t="shared" si="27"/>
        <v>7982801</v>
      </c>
      <c r="T35" s="57">
        <f t="shared" si="27"/>
        <v>7982801</v>
      </c>
      <c r="U35" s="57">
        <f t="shared" si="27"/>
        <v>7982801</v>
      </c>
      <c r="V35" s="57">
        <f t="shared" si="27"/>
        <v>7982801</v>
      </c>
      <c r="W35" s="57">
        <f t="shared" si="27"/>
        <v>7982801</v>
      </c>
      <c r="X35" s="57">
        <f t="shared" si="27"/>
        <v>7982801</v>
      </c>
      <c r="Y35" s="57">
        <f t="shared" si="27"/>
        <v>7982801</v>
      </c>
      <c r="Z35" s="57">
        <f t="shared" si="27"/>
        <v>7982801</v>
      </c>
      <c r="AA35" s="57">
        <f t="shared" si="27"/>
        <v>7982801</v>
      </c>
      <c r="AB35" s="57">
        <f t="shared" si="27"/>
        <v>7982801</v>
      </c>
      <c r="AC35" s="57">
        <f t="shared" si="27"/>
        <v>7982801</v>
      </c>
      <c r="AD35" s="57">
        <f t="shared" si="27"/>
        <v>7982801</v>
      </c>
      <c r="AE35" s="57">
        <f t="shared" si="27"/>
        <v>7982801</v>
      </c>
      <c r="AF35" s="57">
        <f t="shared" si="27"/>
        <v>7982801</v>
      </c>
      <c r="AG35" s="57">
        <f t="shared" si="27"/>
        <v>7982801</v>
      </c>
      <c r="AH35" s="57">
        <f t="shared" si="27"/>
        <v>7982801</v>
      </c>
      <c r="AI35" s="57">
        <f t="shared" si="27"/>
        <v>7982801</v>
      </c>
    </row>
    <row r="36" spans="1:35" s="51" customFormat="1" ht="13.5" x14ac:dyDescent="0.25">
      <c r="A36" s="51">
        <v>6</v>
      </c>
      <c r="B36" s="62" t="s">
        <v>17</v>
      </c>
      <c r="C36" s="7" t="s">
        <v>16</v>
      </c>
      <c r="D36" s="57">
        <f>ROUND((25109+48773+1643+1136+117640+68650+150000+100642+1190295+210200+52000+100389+115749+95440.8)*(1+0.1625),0)</f>
        <v>2647788</v>
      </c>
      <c r="E36" s="57">
        <f t="shared" si="26"/>
        <v>2647788</v>
      </c>
      <c r="F36" s="58">
        <f t="shared" si="24"/>
        <v>2679561</v>
      </c>
      <c r="G36" s="57">
        <f t="shared" si="21"/>
        <v>2679561</v>
      </c>
      <c r="H36" s="57">
        <f t="shared" ref="H36:AI36" si="28">G36</f>
        <v>2679561</v>
      </c>
      <c r="I36" s="57">
        <f t="shared" si="28"/>
        <v>2679561</v>
      </c>
      <c r="J36" s="57">
        <f t="shared" si="28"/>
        <v>2679561</v>
      </c>
      <c r="K36" s="57">
        <f t="shared" si="28"/>
        <v>2679561</v>
      </c>
      <c r="L36" s="57">
        <f t="shared" si="28"/>
        <v>2679561</v>
      </c>
      <c r="M36" s="57">
        <f t="shared" si="28"/>
        <v>2679561</v>
      </c>
      <c r="N36" s="57">
        <f t="shared" si="28"/>
        <v>2679561</v>
      </c>
      <c r="O36" s="57">
        <f t="shared" si="28"/>
        <v>2679561</v>
      </c>
      <c r="P36" s="57">
        <f t="shared" si="28"/>
        <v>2679561</v>
      </c>
      <c r="Q36" s="57">
        <f t="shared" si="28"/>
        <v>2679561</v>
      </c>
      <c r="R36" s="57">
        <f t="shared" si="28"/>
        <v>2679561</v>
      </c>
      <c r="S36" s="57">
        <f t="shared" si="28"/>
        <v>2679561</v>
      </c>
      <c r="T36" s="57">
        <f t="shared" si="28"/>
        <v>2679561</v>
      </c>
      <c r="U36" s="57">
        <f t="shared" si="28"/>
        <v>2679561</v>
      </c>
      <c r="V36" s="57">
        <f t="shared" si="28"/>
        <v>2679561</v>
      </c>
      <c r="W36" s="57">
        <f t="shared" si="28"/>
        <v>2679561</v>
      </c>
      <c r="X36" s="57">
        <f t="shared" si="28"/>
        <v>2679561</v>
      </c>
      <c r="Y36" s="57">
        <f t="shared" si="28"/>
        <v>2679561</v>
      </c>
      <c r="Z36" s="57">
        <f t="shared" si="28"/>
        <v>2679561</v>
      </c>
      <c r="AA36" s="57">
        <f t="shared" si="28"/>
        <v>2679561</v>
      </c>
      <c r="AB36" s="57">
        <f t="shared" si="28"/>
        <v>2679561</v>
      </c>
      <c r="AC36" s="57">
        <f t="shared" si="28"/>
        <v>2679561</v>
      </c>
      <c r="AD36" s="57">
        <f t="shared" si="28"/>
        <v>2679561</v>
      </c>
      <c r="AE36" s="57">
        <f t="shared" si="28"/>
        <v>2679561</v>
      </c>
      <c r="AF36" s="57">
        <f t="shared" si="28"/>
        <v>2679561</v>
      </c>
      <c r="AG36" s="57">
        <f t="shared" si="28"/>
        <v>2679561</v>
      </c>
      <c r="AH36" s="57">
        <f t="shared" si="28"/>
        <v>2679561</v>
      </c>
      <c r="AI36" s="57">
        <f t="shared" si="28"/>
        <v>2679561</v>
      </c>
    </row>
    <row r="37" spans="1:35" s="51" customFormat="1" ht="13.5" x14ac:dyDescent="0.25">
      <c r="A37" s="51">
        <v>7</v>
      </c>
      <c r="B37" s="62" t="s">
        <v>297</v>
      </c>
      <c r="C37" s="7" t="s">
        <v>16</v>
      </c>
      <c r="D37" s="57">
        <f>ROUND((8318+319+12500+62000+100000+109094+99266+12000+1347+1347)*(1+0.1625),0)</f>
        <v>472197</v>
      </c>
      <c r="E37" s="57">
        <f t="shared" si="26"/>
        <v>472197</v>
      </c>
      <c r="F37" s="58">
        <f t="shared" si="24"/>
        <v>477863</v>
      </c>
      <c r="G37" s="57">
        <f t="shared" si="21"/>
        <v>477863</v>
      </c>
      <c r="H37" s="57">
        <f t="shared" ref="H37:AI37" si="29">G37</f>
        <v>477863</v>
      </c>
      <c r="I37" s="57">
        <f t="shared" si="29"/>
        <v>477863</v>
      </c>
      <c r="J37" s="57">
        <f t="shared" si="29"/>
        <v>477863</v>
      </c>
      <c r="K37" s="57">
        <f t="shared" si="29"/>
        <v>477863</v>
      </c>
      <c r="L37" s="57">
        <f t="shared" si="29"/>
        <v>477863</v>
      </c>
      <c r="M37" s="57">
        <f t="shared" si="29"/>
        <v>477863</v>
      </c>
      <c r="N37" s="57">
        <f t="shared" si="29"/>
        <v>477863</v>
      </c>
      <c r="O37" s="57">
        <f t="shared" si="29"/>
        <v>477863</v>
      </c>
      <c r="P37" s="57">
        <f t="shared" si="29"/>
        <v>477863</v>
      </c>
      <c r="Q37" s="57">
        <f t="shared" si="29"/>
        <v>477863</v>
      </c>
      <c r="R37" s="57">
        <f t="shared" si="29"/>
        <v>477863</v>
      </c>
      <c r="S37" s="57">
        <f t="shared" si="29"/>
        <v>477863</v>
      </c>
      <c r="T37" s="57">
        <f t="shared" si="29"/>
        <v>477863</v>
      </c>
      <c r="U37" s="57">
        <f t="shared" si="29"/>
        <v>477863</v>
      </c>
      <c r="V37" s="57">
        <f t="shared" si="29"/>
        <v>477863</v>
      </c>
      <c r="W37" s="57">
        <f t="shared" si="29"/>
        <v>477863</v>
      </c>
      <c r="X37" s="57">
        <f t="shared" si="29"/>
        <v>477863</v>
      </c>
      <c r="Y37" s="57">
        <f t="shared" si="29"/>
        <v>477863</v>
      </c>
      <c r="Z37" s="57">
        <f t="shared" si="29"/>
        <v>477863</v>
      </c>
      <c r="AA37" s="57">
        <f t="shared" si="29"/>
        <v>477863</v>
      </c>
      <c r="AB37" s="57">
        <f t="shared" si="29"/>
        <v>477863</v>
      </c>
      <c r="AC37" s="57">
        <f t="shared" si="29"/>
        <v>477863</v>
      </c>
      <c r="AD37" s="57">
        <f t="shared" si="29"/>
        <v>477863</v>
      </c>
      <c r="AE37" s="57">
        <f t="shared" si="29"/>
        <v>477863</v>
      </c>
      <c r="AF37" s="57">
        <f t="shared" si="29"/>
        <v>477863</v>
      </c>
      <c r="AG37" s="57">
        <f t="shared" si="29"/>
        <v>477863</v>
      </c>
      <c r="AH37" s="57">
        <f t="shared" si="29"/>
        <v>477863</v>
      </c>
      <c r="AI37" s="57">
        <f t="shared" si="29"/>
        <v>477863</v>
      </c>
    </row>
    <row r="38" spans="1:35" s="51" customFormat="1" ht="14.25" thickBot="1" x14ac:dyDescent="0.3">
      <c r="A38" s="51">
        <v>8</v>
      </c>
      <c r="B38" s="63" t="s">
        <v>298</v>
      </c>
      <c r="C38" s="66" t="s">
        <v>16</v>
      </c>
      <c r="D38" s="67">
        <f>ROUND((221387+5486+101638+189029+70000+69377+7059730+333800+24000+151882+269171+256662)*(1+0.1625),0)</f>
        <v>10174388</v>
      </c>
      <c r="E38" s="67">
        <f t="shared" si="26"/>
        <v>10174388</v>
      </c>
      <c r="F38" s="68">
        <f t="shared" si="24"/>
        <v>10296481</v>
      </c>
      <c r="G38" s="67">
        <f t="shared" si="21"/>
        <v>10296481</v>
      </c>
      <c r="H38" s="67">
        <f t="shared" ref="H38:AI38" si="30">G38</f>
        <v>10296481</v>
      </c>
      <c r="I38" s="67">
        <f t="shared" si="30"/>
        <v>10296481</v>
      </c>
      <c r="J38" s="67">
        <f t="shared" si="30"/>
        <v>10296481</v>
      </c>
      <c r="K38" s="67">
        <f t="shared" si="30"/>
        <v>10296481</v>
      </c>
      <c r="L38" s="67">
        <f t="shared" si="30"/>
        <v>10296481</v>
      </c>
      <c r="M38" s="67">
        <f t="shared" si="30"/>
        <v>10296481</v>
      </c>
      <c r="N38" s="67">
        <f t="shared" si="30"/>
        <v>10296481</v>
      </c>
      <c r="O38" s="67">
        <f t="shared" si="30"/>
        <v>10296481</v>
      </c>
      <c r="P38" s="67">
        <f t="shared" si="30"/>
        <v>10296481</v>
      </c>
      <c r="Q38" s="67">
        <f t="shared" si="30"/>
        <v>10296481</v>
      </c>
      <c r="R38" s="67">
        <f t="shared" si="30"/>
        <v>10296481</v>
      </c>
      <c r="S38" s="67">
        <f t="shared" si="30"/>
        <v>10296481</v>
      </c>
      <c r="T38" s="67">
        <f t="shared" si="30"/>
        <v>10296481</v>
      </c>
      <c r="U38" s="67">
        <f t="shared" si="30"/>
        <v>10296481</v>
      </c>
      <c r="V38" s="67">
        <f t="shared" si="30"/>
        <v>10296481</v>
      </c>
      <c r="W38" s="67">
        <f t="shared" si="30"/>
        <v>10296481</v>
      </c>
      <c r="X38" s="67">
        <f t="shared" si="30"/>
        <v>10296481</v>
      </c>
      <c r="Y38" s="67">
        <f t="shared" si="30"/>
        <v>10296481</v>
      </c>
      <c r="Z38" s="67">
        <f t="shared" si="30"/>
        <v>10296481</v>
      </c>
      <c r="AA38" s="67">
        <f t="shared" si="30"/>
        <v>10296481</v>
      </c>
      <c r="AB38" s="67">
        <f t="shared" si="30"/>
        <v>10296481</v>
      </c>
      <c r="AC38" s="67">
        <f t="shared" si="30"/>
        <v>10296481</v>
      </c>
      <c r="AD38" s="67">
        <f t="shared" si="30"/>
        <v>10296481</v>
      </c>
      <c r="AE38" s="67">
        <f t="shared" si="30"/>
        <v>10296481</v>
      </c>
      <c r="AF38" s="67">
        <f t="shared" si="30"/>
        <v>10296481</v>
      </c>
      <c r="AG38" s="67">
        <f t="shared" si="30"/>
        <v>10296481</v>
      </c>
      <c r="AH38" s="67">
        <f t="shared" si="30"/>
        <v>10296481</v>
      </c>
      <c r="AI38" s="67">
        <f t="shared" si="30"/>
        <v>10296481</v>
      </c>
    </row>
    <row r="39" spans="1:35" x14ac:dyDescent="0.2">
      <c r="B39" s="266"/>
      <c r="C39" s="71"/>
      <c r="D39" s="72">
        <f>SUM(D31:D38)</f>
        <v>69259999</v>
      </c>
      <c r="E39" s="72">
        <f>SUM(E31:E38)</f>
        <v>69439789</v>
      </c>
      <c r="F39" s="267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</row>
    <row r="40" spans="1:35" ht="15.75" x14ac:dyDescent="0.2">
      <c r="B40" s="233" t="s">
        <v>280</v>
      </c>
      <c r="C40" s="263"/>
      <c r="D40" s="93"/>
      <c r="E40" s="264"/>
      <c r="F40" s="265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</row>
    <row r="41" spans="1:35" s="51" customFormat="1" ht="13.5" x14ac:dyDescent="0.25">
      <c r="B41" s="20" t="s">
        <v>11</v>
      </c>
      <c r="C41" s="52"/>
      <c r="D41" s="18">
        <f>D12</f>
        <v>2013</v>
      </c>
      <c r="E41" s="18">
        <f t="shared" ref="E41:AI41" si="31">D41+1</f>
        <v>2014</v>
      </c>
      <c r="F41" s="18">
        <f t="shared" si="31"/>
        <v>2015</v>
      </c>
      <c r="G41" s="18">
        <f t="shared" si="31"/>
        <v>2016</v>
      </c>
      <c r="H41" s="18">
        <f t="shared" si="31"/>
        <v>2017</v>
      </c>
      <c r="I41" s="18">
        <f t="shared" si="31"/>
        <v>2018</v>
      </c>
      <c r="J41" s="18">
        <f t="shared" si="31"/>
        <v>2019</v>
      </c>
      <c r="K41" s="18">
        <f t="shared" si="31"/>
        <v>2020</v>
      </c>
      <c r="L41" s="18">
        <f t="shared" si="31"/>
        <v>2021</v>
      </c>
      <c r="M41" s="18">
        <f t="shared" si="31"/>
        <v>2022</v>
      </c>
      <c r="N41" s="18">
        <f t="shared" si="31"/>
        <v>2023</v>
      </c>
      <c r="O41" s="18">
        <f t="shared" si="31"/>
        <v>2024</v>
      </c>
      <c r="P41" s="18">
        <f t="shared" si="31"/>
        <v>2025</v>
      </c>
      <c r="Q41" s="18">
        <f t="shared" si="31"/>
        <v>2026</v>
      </c>
      <c r="R41" s="18">
        <f t="shared" si="31"/>
        <v>2027</v>
      </c>
      <c r="S41" s="18">
        <f t="shared" si="31"/>
        <v>2028</v>
      </c>
      <c r="T41" s="18">
        <f t="shared" si="31"/>
        <v>2029</v>
      </c>
      <c r="U41" s="18">
        <f t="shared" si="31"/>
        <v>2030</v>
      </c>
      <c r="V41" s="18">
        <f t="shared" si="31"/>
        <v>2031</v>
      </c>
      <c r="W41" s="18">
        <f t="shared" si="31"/>
        <v>2032</v>
      </c>
      <c r="X41" s="18">
        <f t="shared" si="31"/>
        <v>2033</v>
      </c>
      <c r="Y41" s="18">
        <f t="shared" si="31"/>
        <v>2034</v>
      </c>
      <c r="Z41" s="18">
        <f t="shared" si="31"/>
        <v>2035</v>
      </c>
      <c r="AA41" s="18">
        <f t="shared" si="31"/>
        <v>2036</v>
      </c>
      <c r="AB41" s="18">
        <f t="shared" si="31"/>
        <v>2037</v>
      </c>
      <c r="AC41" s="18">
        <f t="shared" si="31"/>
        <v>2038</v>
      </c>
      <c r="AD41" s="18">
        <f t="shared" si="31"/>
        <v>2039</v>
      </c>
      <c r="AE41" s="18">
        <f t="shared" si="31"/>
        <v>2040</v>
      </c>
      <c r="AF41" s="18">
        <f t="shared" si="31"/>
        <v>2041</v>
      </c>
      <c r="AG41" s="18">
        <f t="shared" si="31"/>
        <v>2042</v>
      </c>
      <c r="AH41" s="18">
        <f t="shared" si="31"/>
        <v>2043</v>
      </c>
      <c r="AI41" s="18">
        <f t="shared" si="31"/>
        <v>2044</v>
      </c>
    </row>
    <row r="42" spans="1:35" s="1" customFormat="1" ht="13.5" x14ac:dyDescent="0.25">
      <c r="B42" s="13" t="s">
        <v>328</v>
      </c>
      <c r="C42" s="2" t="s">
        <v>9</v>
      </c>
      <c r="D42" s="14">
        <f>D16</f>
        <v>54237</v>
      </c>
      <c r="E42" s="14">
        <f t="shared" ref="E42:AI42" si="32">D42</f>
        <v>54237</v>
      </c>
      <c r="F42" s="15">
        <f t="shared" si="32"/>
        <v>54237</v>
      </c>
      <c r="G42" s="14">
        <f t="shared" si="32"/>
        <v>54237</v>
      </c>
      <c r="H42" s="14">
        <f t="shared" si="32"/>
        <v>54237</v>
      </c>
      <c r="I42" s="14">
        <f t="shared" si="32"/>
        <v>54237</v>
      </c>
      <c r="J42" s="14">
        <f t="shared" si="32"/>
        <v>54237</v>
      </c>
      <c r="K42" s="14">
        <f t="shared" si="32"/>
        <v>54237</v>
      </c>
      <c r="L42" s="14">
        <f t="shared" si="32"/>
        <v>54237</v>
      </c>
      <c r="M42" s="14">
        <f t="shared" si="32"/>
        <v>54237</v>
      </c>
      <c r="N42" s="14">
        <f t="shared" si="32"/>
        <v>54237</v>
      </c>
      <c r="O42" s="14">
        <f t="shared" si="32"/>
        <v>54237</v>
      </c>
      <c r="P42" s="14">
        <f t="shared" si="32"/>
        <v>54237</v>
      </c>
      <c r="Q42" s="14">
        <f t="shared" si="32"/>
        <v>54237</v>
      </c>
      <c r="R42" s="14">
        <f t="shared" si="32"/>
        <v>54237</v>
      </c>
      <c r="S42" s="14">
        <f t="shared" si="32"/>
        <v>54237</v>
      </c>
      <c r="T42" s="14">
        <f t="shared" si="32"/>
        <v>54237</v>
      </c>
      <c r="U42" s="14">
        <f t="shared" si="32"/>
        <v>54237</v>
      </c>
      <c r="V42" s="14">
        <f t="shared" si="32"/>
        <v>54237</v>
      </c>
      <c r="W42" s="14">
        <f t="shared" si="32"/>
        <v>54237</v>
      </c>
      <c r="X42" s="14">
        <f t="shared" si="32"/>
        <v>54237</v>
      </c>
      <c r="Y42" s="14">
        <f t="shared" si="32"/>
        <v>54237</v>
      </c>
      <c r="Z42" s="14">
        <f t="shared" si="32"/>
        <v>54237</v>
      </c>
      <c r="AA42" s="14">
        <f t="shared" si="32"/>
        <v>54237</v>
      </c>
      <c r="AB42" s="14">
        <f t="shared" si="32"/>
        <v>54237</v>
      </c>
      <c r="AC42" s="14">
        <f t="shared" si="32"/>
        <v>54237</v>
      </c>
      <c r="AD42" s="14">
        <f t="shared" si="32"/>
        <v>54237</v>
      </c>
      <c r="AE42" s="14">
        <f t="shared" si="32"/>
        <v>54237</v>
      </c>
      <c r="AF42" s="14">
        <f t="shared" si="32"/>
        <v>54237</v>
      </c>
      <c r="AG42" s="14">
        <f t="shared" si="32"/>
        <v>54237</v>
      </c>
      <c r="AH42" s="14">
        <f t="shared" si="32"/>
        <v>54237</v>
      </c>
      <c r="AI42" s="14">
        <f t="shared" si="32"/>
        <v>54237</v>
      </c>
    </row>
    <row r="43" spans="1:35" s="1" customFormat="1" ht="24.75" customHeight="1" x14ac:dyDescent="0.25">
      <c r="B43" s="16" t="s">
        <v>274</v>
      </c>
      <c r="C43" s="2" t="s">
        <v>21</v>
      </c>
      <c r="D43" s="442">
        <f>D23*0.95</f>
        <v>8.5499999999999993E-2</v>
      </c>
      <c r="E43" s="442">
        <f t="shared" ref="E43:AI43" si="33">E23*0.95</f>
        <v>8.5499999999999993E-2</v>
      </c>
      <c r="F43" s="443">
        <f t="shared" si="33"/>
        <v>8.5499999999999993E-2</v>
      </c>
      <c r="G43" s="442">
        <f t="shared" si="33"/>
        <v>8.5499999999999993E-2</v>
      </c>
      <c r="H43" s="442">
        <f t="shared" si="33"/>
        <v>8.5499999999999993E-2</v>
      </c>
      <c r="I43" s="442">
        <f t="shared" si="33"/>
        <v>8.5499999999999993E-2</v>
      </c>
      <c r="J43" s="442">
        <f t="shared" si="33"/>
        <v>8.5499999999999993E-2</v>
      </c>
      <c r="K43" s="442">
        <f t="shared" si="33"/>
        <v>8.5499999999999993E-2</v>
      </c>
      <c r="L43" s="442">
        <f t="shared" si="33"/>
        <v>8.5499999999999993E-2</v>
      </c>
      <c r="M43" s="442">
        <f t="shared" si="33"/>
        <v>8.5499999999999993E-2</v>
      </c>
      <c r="N43" s="442">
        <f t="shared" si="33"/>
        <v>8.5499999999999993E-2</v>
      </c>
      <c r="O43" s="442">
        <f t="shared" si="33"/>
        <v>8.5499999999999993E-2</v>
      </c>
      <c r="P43" s="442">
        <f t="shared" si="33"/>
        <v>8.5499999999999993E-2</v>
      </c>
      <c r="Q43" s="442">
        <f t="shared" si="33"/>
        <v>8.5499999999999993E-2</v>
      </c>
      <c r="R43" s="442">
        <f t="shared" si="33"/>
        <v>8.5499999999999993E-2</v>
      </c>
      <c r="S43" s="442">
        <f t="shared" si="33"/>
        <v>8.5499999999999993E-2</v>
      </c>
      <c r="T43" s="442">
        <f t="shared" si="33"/>
        <v>8.5499999999999993E-2</v>
      </c>
      <c r="U43" s="442">
        <f t="shared" si="33"/>
        <v>8.5499999999999993E-2</v>
      </c>
      <c r="V43" s="442">
        <f t="shared" si="33"/>
        <v>8.5499999999999993E-2</v>
      </c>
      <c r="W43" s="442">
        <f t="shared" si="33"/>
        <v>8.5499999999999993E-2</v>
      </c>
      <c r="X43" s="442">
        <f t="shared" si="33"/>
        <v>8.5499999999999993E-2</v>
      </c>
      <c r="Y43" s="442">
        <f t="shared" si="33"/>
        <v>8.5499999999999993E-2</v>
      </c>
      <c r="Z43" s="442">
        <f t="shared" si="33"/>
        <v>8.5499999999999993E-2</v>
      </c>
      <c r="AA43" s="442">
        <f t="shared" si="33"/>
        <v>8.5499999999999993E-2</v>
      </c>
      <c r="AB43" s="442">
        <f t="shared" si="33"/>
        <v>8.5499999999999993E-2</v>
      </c>
      <c r="AC43" s="442">
        <f t="shared" si="33"/>
        <v>8.5499999999999993E-2</v>
      </c>
      <c r="AD43" s="442">
        <f t="shared" si="33"/>
        <v>8.5499999999999993E-2</v>
      </c>
      <c r="AE43" s="442">
        <f t="shared" si="33"/>
        <v>8.5499999999999993E-2</v>
      </c>
      <c r="AF43" s="442">
        <f t="shared" si="33"/>
        <v>8.5499999999999993E-2</v>
      </c>
      <c r="AG43" s="442">
        <f t="shared" si="33"/>
        <v>8.5499999999999993E-2</v>
      </c>
      <c r="AH43" s="442">
        <f t="shared" si="33"/>
        <v>8.5499999999999993E-2</v>
      </c>
      <c r="AI43" s="442">
        <f t="shared" si="33"/>
        <v>8.5499999999999993E-2</v>
      </c>
    </row>
    <row r="44" spans="1:35" s="51" customFormat="1" ht="13.5" x14ac:dyDescent="0.25">
      <c r="B44" s="59" t="s">
        <v>264</v>
      </c>
      <c r="C44" s="7" t="s">
        <v>10</v>
      </c>
      <c r="D44" s="57">
        <f>ROUND(D17/D16,2)</f>
        <v>5.38</v>
      </c>
      <c r="E44" s="57">
        <f t="shared" ref="E44:AI44" si="34">ROUND(E17/E16,2)</f>
        <v>5.38</v>
      </c>
      <c r="F44" s="58">
        <f t="shared" si="34"/>
        <v>5.38</v>
      </c>
      <c r="G44" s="57">
        <f t="shared" si="34"/>
        <v>5.38</v>
      </c>
      <c r="H44" s="57">
        <f t="shared" si="34"/>
        <v>5.38</v>
      </c>
      <c r="I44" s="57">
        <f t="shared" si="34"/>
        <v>5.38</v>
      </c>
      <c r="J44" s="57">
        <f t="shared" si="34"/>
        <v>5.38</v>
      </c>
      <c r="K44" s="57">
        <f t="shared" si="34"/>
        <v>5.38</v>
      </c>
      <c r="L44" s="57">
        <f t="shared" si="34"/>
        <v>5.38</v>
      </c>
      <c r="M44" s="57">
        <f t="shared" si="34"/>
        <v>5.38</v>
      </c>
      <c r="N44" s="57">
        <f t="shared" si="34"/>
        <v>5.38</v>
      </c>
      <c r="O44" s="57">
        <f t="shared" si="34"/>
        <v>5.38</v>
      </c>
      <c r="P44" s="57">
        <f t="shared" si="34"/>
        <v>5.38</v>
      </c>
      <c r="Q44" s="57">
        <f t="shared" si="34"/>
        <v>5.38</v>
      </c>
      <c r="R44" s="57">
        <f t="shared" si="34"/>
        <v>5.38</v>
      </c>
      <c r="S44" s="57">
        <f t="shared" si="34"/>
        <v>5.38</v>
      </c>
      <c r="T44" s="57">
        <f t="shared" si="34"/>
        <v>5.38</v>
      </c>
      <c r="U44" s="57">
        <f t="shared" si="34"/>
        <v>5.38</v>
      </c>
      <c r="V44" s="57">
        <f t="shared" si="34"/>
        <v>5.38</v>
      </c>
      <c r="W44" s="57">
        <f t="shared" si="34"/>
        <v>5.38</v>
      </c>
      <c r="X44" s="57">
        <f t="shared" si="34"/>
        <v>5.38</v>
      </c>
      <c r="Y44" s="57">
        <f t="shared" si="34"/>
        <v>5.38</v>
      </c>
      <c r="Z44" s="57">
        <f t="shared" si="34"/>
        <v>5.38</v>
      </c>
      <c r="AA44" s="57">
        <f t="shared" si="34"/>
        <v>5.38</v>
      </c>
      <c r="AB44" s="57">
        <f t="shared" si="34"/>
        <v>5.38</v>
      </c>
      <c r="AC44" s="57">
        <f t="shared" si="34"/>
        <v>5.38</v>
      </c>
      <c r="AD44" s="57">
        <f t="shared" si="34"/>
        <v>5.38</v>
      </c>
      <c r="AE44" s="57">
        <f t="shared" si="34"/>
        <v>5.38</v>
      </c>
      <c r="AF44" s="57">
        <f t="shared" si="34"/>
        <v>5.38</v>
      </c>
      <c r="AG44" s="57">
        <f t="shared" si="34"/>
        <v>5.38</v>
      </c>
      <c r="AH44" s="57">
        <f t="shared" si="34"/>
        <v>5.38</v>
      </c>
      <c r="AI44" s="57">
        <f t="shared" si="34"/>
        <v>5.38</v>
      </c>
    </row>
    <row r="45" spans="1:35" s="1" customFormat="1" ht="27" x14ac:dyDescent="0.25">
      <c r="B45" s="13" t="s">
        <v>277</v>
      </c>
      <c r="C45" s="2" t="s">
        <v>12</v>
      </c>
      <c r="D45" s="14">
        <v>3431</v>
      </c>
      <c r="E45" s="14">
        <f t="shared" ref="E45:AG45" si="35">D45</f>
        <v>3431</v>
      </c>
      <c r="F45" s="15">
        <f t="shared" si="35"/>
        <v>3431</v>
      </c>
      <c r="G45" s="14">
        <f t="shared" si="35"/>
        <v>3431</v>
      </c>
      <c r="H45" s="14">
        <f t="shared" si="35"/>
        <v>3431</v>
      </c>
      <c r="I45" s="14">
        <f t="shared" si="35"/>
        <v>3431</v>
      </c>
      <c r="J45" s="14">
        <f t="shared" si="35"/>
        <v>3431</v>
      </c>
      <c r="K45" s="14">
        <f t="shared" si="35"/>
        <v>3431</v>
      </c>
      <c r="L45" s="14">
        <f t="shared" si="35"/>
        <v>3431</v>
      </c>
      <c r="M45" s="14">
        <f t="shared" si="35"/>
        <v>3431</v>
      </c>
      <c r="N45" s="14">
        <f t="shared" si="35"/>
        <v>3431</v>
      </c>
      <c r="O45" s="14">
        <f t="shared" si="35"/>
        <v>3431</v>
      </c>
      <c r="P45" s="14">
        <f t="shared" si="35"/>
        <v>3431</v>
      </c>
      <c r="Q45" s="14">
        <f t="shared" si="35"/>
        <v>3431</v>
      </c>
      <c r="R45" s="14">
        <f t="shared" si="35"/>
        <v>3431</v>
      </c>
      <c r="S45" s="14">
        <f t="shared" si="35"/>
        <v>3431</v>
      </c>
      <c r="T45" s="14">
        <f t="shared" si="35"/>
        <v>3431</v>
      </c>
      <c r="U45" s="14">
        <f t="shared" si="35"/>
        <v>3431</v>
      </c>
      <c r="V45" s="14">
        <f t="shared" si="35"/>
        <v>3431</v>
      </c>
      <c r="W45" s="14">
        <f t="shared" si="35"/>
        <v>3431</v>
      </c>
      <c r="X45" s="14">
        <f t="shared" si="35"/>
        <v>3431</v>
      </c>
      <c r="Y45" s="14">
        <f t="shared" si="35"/>
        <v>3431</v>
      </c>
      <c r="Z45" s="14">
        <f t="shared" si="35"/>
        <v>3431</v>
      </c>
      <c r="AA45" s="14">
        <f t="shared" si="35"/>
        <v>3431</v>
      </c>
      <c r="AB45" s="14">
        <f t="shared" si="35"/>
        <v>3431</v>
      </c>
      <c r="AC45" s="14">
        <f t="shared" si="35"/>
        <v>3431</v>
      </c>
      <c r="AD45" s="14">
        <f t="shared" si="35"/>
        <v>3431</v>
      </c>
      <c r="AE45" s="14">
        <f t="shared" si="35"/>
        <v>3431</v>
      </c>
      <c r="AF45" s="14">
        <f t="shared" si="35"/>
        <v>3431</v>
      </c>
      <c r="AG45" s="14">
        <f t="shared" si="35"/>
        <v>3431</v>
      </c>
      <c r="AH45" s="14">
        <f t="shared" ref="AH45:AI48" si="36">AG45</f>
        <v>3431</v>
      </c>
      <c r="AI45" s="14">
        <f t="shared" si="36"/>
        <v>3431</v>
      </c>
    </row>
    <row r="46" spans="1:35" s="1" customFormat="1" ht="13.5" x14ac:dyDescent="0.25">
      <c r="B46" s="13" t="s">
        <v>271</v>
      </c>
      <c r="C46" s="2" t="s">
        <v>13</v>
      </c>
      <c r="D46" s="442">
        <v>0.8</v>
      </c>
      <c r="E46" s="442">
        <f t="shared" ref="E46:AG46" si="37">D46</f>
        <v>0.8</v>
      </c>
      <c r="F46" s="443">
        <f t="shared" si="37"/>
        <v>0.8</v>
      </c>
      <c r="G46" s="442">
        <f t="shared" si="37"/>
        <v>0.8</v>
      </c>
      <c r="H46" s="442">
        <f t="shared" si="37"/>
        <v>0.8</v>
      </c>
      <c r="I46" s="442">
        <f t="shared" si="37"/>
        <v>0.8</v>
      </c>
      <c r="J46" s="442">
        <f t="shared" si="37"/>
        <v>0.8</v>
      </c>
      <c r="K46" s="442">
        <f t="shared" si="37"/>
        <v>0.8</v>
      </c>
      <c r="L46" s="442">
        <f t="shared" si="37"/>
        <v>0.8</v>
      </c>
      <c r="M46" s="442">
        <f t="shared" si="37"/>
        <v>0.8</v>
      </c>
      <c r="N46" s="442">
        <f t="shared" si="37"/>
        <v>0.8</v>
      </c>
      <c r="O46" s="442">
        <f t="shared" si="37"/>
        <v>0.8</v>
      </c>
      <c r="P46" s="442">
        <f t="shared" si="37"/>
        <v>0.8</v>
      </c>
      <c r="Q46" s="442">
        <f t="shared" si="37"/>
        <v>0.8</v>
      </c>
      <c r="R46" s="442">
        <f t="shared" si="37"/>
        <v>0.8</v>
      </c>
      <c r="S46" s="442">
        <f t="shared" si="37"/>
        <v>0.8</v>
      </c>
      <c r="T46" s="442">
        <f t="shared" si="37"/>
        <v>0.8</v>
      </c>
      <c r="U46" s="442">
        <f t="shared" si="37"/>
        <v>0.8</v>
      </c>
      <c r="V46" s="442">
        <f t="shared" si="37"/>
        <v>0.8</v>
      </c>
      <c r="W46" s="442">
        <f t="shared" si="37"/>
        <v>0.8</v>
      </c>
      <c r="X46" s="442">
        <f t="shared" si="37"/>
        <v>0.8</v>
      </c>
      <c r="Y46" s="442">
        <f t="shared" si="37"/>
        <v>0.8</v>
      </c>
      <c r="Z46" s="442">
        <f t="shared" si="37"/>
        <v>0.8</v>
      </c>
      <c r="AA46" s="442">
        <f t="shared" si="37"/>
        <v>0.8</v>
      </c>
      <c r="AB46" s="442">
        <f t="shared" si="37"/>
        <v>0.8</v>
      </c>
      <c r="AC46" s="442">
        <f t="shared" si="37"/>
        <v>0.8</v>
      </c>
      <c r="AD46" s="442">
        <f t="shared" si="37"/>
        <v>0.8</v>
      </c>
      <c r="AE46" s="442">
        <f t="shared" si="37"/>
        <v>0.8</v>
      </c>
      <c r="AF46" s="442">
        <f t="shared" si="37"/>
        <v>0.8</v>
      </c>
      <c r="AG46" s="442">
        <f t="shared" si="37"/>
        <v>0.8</v>
      </c>
      <c r="AH46" s="442">
        <f t="shared" si="36"/>
        <v>0.8</v>
      </c>
      <c r="AI46" s="442">
        <f t="shared" si="36"/>
        <v>0.8</v>
      </c>
    </row>
    <row r="47" spans="1:35" s="1" customFormat="1" ht="27" x14ac:dyDescent="0.25">
      <c r="B47" s="13" t="s">
        <v>278</v>
      </c>
      <c r="C47" s="2" t="s">
        <v>12</v>
      </c>
      <c r="D47" s="14">
        <v>29347</v>
      </c>
      <c r="E47" s="14">
        <f t="shared" ref="E47:AG47" si="38">D47</f>
        <v>29347</v>
      </c>
      <c r="F47" s="15">
        <f t="shared" si="38"/>
        <v>29347</v>
      </c>
      <c r="G47" s="14">
        <f t="shared" si="38"/>
        <v>29347</v>
      </c>
      <c r="H47" s="14">
        <f t="shared" si="38"/>
        <v>29347</v>
      </c>
      <c r="I47" s="14">
        <f t="shared" si="38"/>
        <v>29347</v>
      </c>
      <c r="J47" s="14">
        <f t="shared" si="38"/>
        <v>29347</v>
      </c>
      <c r="K47" s="14">
        <f t="shared" si="38"/>
        <v>29347</v>
      </c>
      <c r="L47" s="14">
        <f t="shared" si="38"/>
        <v>29347</v>
      </c>
      <c r="M47" s="14">
        <f t="shared" si="38"/>
        <v>29347</v>
      </c>
      <c r="N47" s="14">
        <f t="shared" si="38"/>
        <v>29347</v>
      </c>
      <c r="O47" s="14">
        <f t="shared" si="38"/>
        <v>29347</v>
      </c>
      <c r="P47" s="14">
        <f t="shared" si="38"/>
        <v>29347</v>
      </c>
      <c r="Q47" s="14">
        <f t="shared" si="38"/>
        <v>29347</v>
      </c>
      <c r="R47" s="14">
        <f t="shared" si="38"/>
        <v>29347</v>
      </c>
      <c r="S47" s="14">
        <f t="shared" si="38"/>
        <v>29347</v>
      </c>
      <c r="T47" s="14">
        <f t="shared" si="38"/>
        <v>29347</v>
      </c>
      <c r="U47" s="14">
        <f t="shared" si="38"/>
        <v>29347</v>
      </c>
      <c r="V47" s="14">
        <f t="shared" si="38"/>
        <v>29347</v>
      </c>
      <c r="W47" s="14">
        <f t="shared" si="38"/>
        <v>29347</v>
      </c>
      <c r="X47" s="14">
        <f t="shared" si="38"/>
        <v>29347</v>
      </c>
      <c r="Y47" s="14">
        <f t="shared" si="38"/>
        <v>29347</v>
      </c>
      <c r="Z47" s="14">
        <f t="shared" si="38"/>
        <v>29347</v>
      </c>
      <c r="AA47" s="14">
        <f t="shared" si="38"/>
        <v>29347</v>
      </c>
      <c r="AB47" s="14">
        <f t="shared" si="38"/>
        <v>29347</v>
      </c>
      <c r="AC47" s="14">
        <f t="shared" si="38"/>
        <v>29347</v>
      </c>
      <c r="AD47" s="14">
        <f t="shared" si="38"/>
        <v>29347</v>
      </c>
      <c r="AE47" s="14">
        <f t="shared" si="38"/>
        <v>29347</v>
      </c>
      <c r="AF47" s="14">
        <f t="shared" si="38"/>
        <v>29347</v>
      </c>
      <c r="AG47" s="14">
        <f t="shared" si="38"/>
        <v>29347</v>
      </c>
      <c r="AH47" s="14">
        <f t="shared" si="36"/>
        <v>29347</v>
      </c>
      <c r="AI47" s="14">
        <f t="shared" si="36"/>
        <v>29347</v>
      </c>
    </row>
    <row r="48" spans="1:35" s="1" customFormat="1" ht="27" x14ac:dyDescent="0.25">
      <c r="B48" s="13" t="s">
        <v>273</v>
      </c>
      <c r="C48" s="2" t="s">
        <v>13</v>
      </c>
      <c r="D48" s="442">
        <v>0.17</v>
      </c>
      <c r="E48" s="442">
        <f t="shared" ref="E48:AG48" si="39">D48</f>
        <v>0.17</v>
      </c>
      <c r="F48" s="443">
        <f t="shared" si="39"/>
        <v>0.17</v>
      </c>
      <c r="G48" s="442">
        <f t="shared" si="39"/>
        <v>0.17</v>
      </c>
      <c r="H48" s="442">
        <f t="shared" si="39"/>
        <v>0.17</v>
      </c>
      <c r="I48" s="442">
        <f t="shared" si="39"/>
        <v>0.17</v>
      </c>
      <c r="J48" s="442">
        <f t="shared" si="39"/>
        <v>0.17</v>
      </c>
      <c r="K48" s="442">
        <f t="shared" si="39"/>
        <v>0.17</v>
      </c>
      <c r="L48" s="442">
        <f t="shared" si="39"/>
        <v>0.17</v>
      </c>
      <c r="M48" s="442">
        <f t="shared" si="39"/>
        <v>0.17</v>
      </c>
      <c r="N48" s="442">
        <f t="shared" si="39"/>
        <v>0.17</v>
      </c>
      <c r="O48" s="442">
        <f t="shared" si="39"/>
        <v>0.17</v>
      </c>
      <c r="P48" s="442">
        <f t="shared" si="39"/>
        <v>0.17</v>
      </c>
      <c r="Q48" s="442">
        <f t="shared" si="39"/>
        <v>0.17</v>
      </c>
      <c r="R48" s="442">
        <f t="shared" si="39"/>
        <v>0.17</v>
      </c>
      <c r="S48" s="442">
        <f t="shared" si="39"/>
        <v>0.17</v>
      </c>
      <c r="T48" s="442">
        <f t="shared" si="39"/>
        <v>0.17</v>
      </c>
      <c r="U48" s="442">
        <f t="shared" si="39"/>
        <v>0.17</v>
      </c>
      <c r="V48" s="442">
        <f t="shared" si="39"/>
        <v>0.17</v>
      </c>
      <c r="W48" s="442">
        <f t="shared" si="39"/>
        <v>0.17</v>
      </c>
      <c r="X48" s="442">
        <f t="shared" si="39"/>
        <v>0.17</v>
      </c>
      <c r="Y48" s="442">
        <f t="shared" si="39"/>
        <v>0.17</v>
      </c>
      <c r="Z48" s="442">
        <f t="shared" si="39"/>
        <v>0.17</v>
      </c>
      <c r="AA48" s="442">
        <f t="shared" si="39"/>
        <v>0.17</v>
      </c>
      <c r="AB48" s="442">
        <f t="shared" si="39"/>
        <v>0.17</v>
      </c>
      <c r="AC48" s="442">
        <f t="shared" si="39"/>
        <v>0.17</v>
      </c>
      <c r="AD48" s="442">
        <f t="shared" si="39"/>
        <v>0.17</v>
      </c>
      <c r="AE48" s="442">
        <f t="shared" si="39"/>
        <v>0.17</v>
      </c>
      <c r="AF48" s="442">
        <f t="shared" si="39"/>
        <v>0.17</v>
      </c>
      <c r="AG48" s="442">
        <f t="shared" si="39"/>
        <v>0.17</v>
      </c>
      <c r="AH48" s="442">
        <f t="shared" si="36"/>
        <v>0.17</v>
      </c>
      <c r="AI48" s="442">
        <f t="shared" si="36"/>
        <v>0.17</v>
      </c>
    </row>
    <row r="49" spans="1:35" s="1" customFormat="1" ht="13.5" x14ac:dyDescent="0.25">
      <c r="B49" s="20" t="s">
        <v>14</v>
      </c>
      <c r="C49" s="2"/>
      <c r="D49" s="64"/>
      <c r="E49" s="64"/>
      <c r="F49" s="65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s="1" customFormat="1" ht="13.5" x14ac:dyDescent="0.25">
      <c r="B50" s="60" t="s">
        <v>15</v>
      </c>
      <c r="C50" s="2"/>
      <c r="D50" s="64"/>
      <c r="E50" s="64"/>
      <c r="F50" s="65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s="51" customFormat="1" ht="13.5" x14ac:dyDescent="0.25">
      <c r="A51" s="51">
        <v>1</v>
      </c>
      <c r="B51" s="61" t="s">
        <v>145</v>
      </c>
      <c r="C51" s="7" t="s">
        <v>16</v>
      </c>
      <c r="D51" s="57">
        <f>ROUND((42501+115349+20693+4999+9085+3306+821377+8039692+3200+74037+34403+812373.36+291821.67+370377.19)*(1+0.536),0)</f>
        <v>16347977</v>
      </c>
      <c r="E51" s="57">
        <f>D51</f>
        <v>16347977</v>
      </c>
      <c r="F51" s="58">
        <f>E51</f>
        <v>16347977</v>
      </c>
      <c r="G51" s="57">
        <f t="shared" ref="G51:G58" si="40">F51</f>
        <v>16347977</v>
      </c>
      <c r="H51" s="57">
        <f t="shared" ref="H51:AI51" si="41">G51</f>
        <v>16347977</v>
      </c>
      <c r="I51" s="57">
        <f t="shared" si="41"/>
        <v>16347977</v>
      </c>
      <c r="J51" s="57">
        <f t="shared" si="41"/>
        <v>16347977</v>
      </c>
      <c r="K51" s="57">
        <f t="shared" si="41"/>
        <v>16347977</v>
      </c>
      <c r="L51" s="57">
        <f t="shared" si="41"/>
        <v>16347977</v>
      </c>
      <c r="M51" s="57">
        <f t="shared" si="41"/>
        <v>16347977</v>
      </c>
      <c r="N51" s="57">
        <f t="shared" si="41"/>
        <v>16347977</v>
      </c>
      <c r="O51" s="57">
        <f t="shared" si="41"/>
        <v>16347977</v>
      </c>
      <c r="P51" s="57">
        <f t="shared" si="41"/>
        <v>16347977</v>
      </c>
      <c r="Q51" s="57">
        <f t="shared" si="41"/>
        <v>16347977</v>
      </c>
      <c r="R51" s="57">
        <f t="shared" si="41"/>
        <v>16347977</v>
      </c>
      <c r="S51" s="57">
        <f t="shared" si="41"/>
        <v>16347977</v>
      </c>
      <c r="T51" s="57">
        <f t="shared" si="41"/>
        <v>16347977</v>
      </c>
      <c r="U51" s="57">
        <f t="shared" si="41"/>
        <v>16347977</v>
      </c>
      <c r="V51" s="57">
        <f t="shared" si="41"/>
        <v>16347977</v>
      </c>
      <c r="W51" s="57">
        <f t="shared" si="41"/>
        <v>16347977</v>
      </c>
      <c r="X51" s="57">
        <f t="shared" si="41"/>
        <v>16347977</v>
      </c>
      <c r="Y51" s="57">
        <f t="shared" si="41"/>
        <v>16347977</v>
      </c>
      <c r="Z51" s="57">
        <f t="shared" si="41"/>
        <v>16347977</v>
      </c>
      <c r="AA51" s="57">
        <f t="shared" si="41"/>
        <v>16347977</v>
      </c>
      <c r="AB51" s="57">
        <f t="shared" si="41"/>
        <v>16347977</v>
      </c>
      <c r="AC51" s="57">
        <f t="shared" si="41"/>
        <v>16347977</v>
      </c>
      <c r="AD51" s="57">
        <f t="shared" si="41"/>
        <v>16347977</v>
      </c>
      <c r="AE51" s="57">
        <f t="shared" si="41"/>
        <v>16347977</v>
      </c>
      <c r="AF51" s="57">
        <f t="shared" si="41"/>
        <v>16347977</v>
      </c>
      <c r="AG51" s="57">
        <f t="shared" si="41"/>
        <v>16347977</v>
      </c>
      <c r="AH51" s="57">
        <f t="shared" si="41"/>
        <v>16347977</v>
      </c>
      <c r="AI51" s="57">
        <f t="shared" si="41"/>
        <v>16347977</v>
      </c>
    </row>
    <row r="52" spans="1:35" s="51" customFormat="1" ht="13.5" x14ac:dyDescent="0.25">
      <c r="A52" s="51">
        <v>2</v>
      </c>
      <c r="B52" s="61" t="s">
        <v>295</v>
      </c>
      <c r="C52" s="7" t="s">
        <v>16</v>
      </c>
      <c r="D52" s="57">
        <f>ROUND((191006+67536+270484+124441+45071+16901+400000+845160+7385296+935400+335505+181905+93993.25)*(1+0.1305),0)</f>
        <v>12314195</v>
      </c>
      <c r="E52" s="57">
        <f>ROUND(D52*(1+L8),0)</f>
        <v>12449651</v>
      </c>
      <c r="F52" s="58">
        <f>ROUND(E52*(1+M8),0)</f>
        <v>12723543</v>
      </c>
      <c r="G52" s="57">
        <f t="shared" si="40"/>
        <v>12723543</v>
      </c>
      <c r="H52" s="57">
        <f t="shared" ref="H52:AI52" si="42">G52</f>
        <v>12723543</v>
      </c>
      <c r="I52" s="57">
        <f t="shared" si="42"/>
        <v>12723543</v>
      </c>
      <c r="J52" s="57">
        <f t="shared" si="42"/>
        <v>12723543</v>
      </c>
      <c r="K52" s="57">
        <f t="shared" si="42"/>
        <v>12723543</v>
      </c>
      <c r="L52" s="57">
        <f t="shared" si="42"/>
        <v>12723543</v>
      </c>
      <c r="M52" s="57">
        <f t="shared" si="42"/>
        <v>12723543</v>
      </c>
      <c r="N52" s="57">
        <f t="shared" si="42"/>
        <v>12723543</v>
      </c>
      <c r="O52" s="57">
        <f t="shared" si="42"/>
        <v>12723543</v>
      </c>
      <c r="P52" s="57">
        <f t="shared" si="42"/>
        <v>12723543</v>
      </c>
      <c r="Q52" s="57">
        <f t="shared" si="42"/>
        <v>12723543</v>
      </c>
      <c r="R52" s="57">
        <f t="shared" si="42"/>
        <v>12723543</v>
      </c>
      <c r="S52" s="57">
        <f t="shared" si="42"/>
        <v>12723543</v>
      </c>
      <c r="T52" s="57">
        <f t="shared" si="42"/>
        <v>12723543</v>
      </c>
      <c r="U52" s="57">
        <f t="shared" si="42"/>
        <v>12723543</v>
      </c>
      <c r="V52" s="57">
        <f t="shared" si="42"/>
        <v>12723543</v>
      </c>
      <c r="W52" s="57">
        <f t="shared" si="42"/>
        <v>12723543</v>
      </c>
      <c r="X52" s="57">
        <f t="shared" si="42"/>
        <v>12723543</v>
      </c>
      <c r="Y52" s="57">
        <f t="shared" si="42"/>
        <v>12723543</v>
      </c>
      <c r="Z52" s="57">
        <f t="shared" si="42"/>
        <v>12723543</v>
      </c>
      <c r="AA52" s="57">
        <f t="shared" si="42"/>
        <v>12723543</v>
      </c>
      <c r="AB52" s="57">
        <f t="shared" si="42"/>
        <v>12723543</v>
      </c>
      <c r="AC52" s="57">
        <f t="shared" si="42"/>
        <v>12723543</v>
      </c>
      <c r="AD52" s="57">
        <f t="shared" si="42"/>
        <v>12723543</v>
      </c>
      <c r="AE52" s="57">
        <f t="shared" si="42"/>
        <v>12723543</v>
      </c>
      <c r="AF52" s="57">
        <f t="shared" si="42"/>
        <v>12723543</v>
      </c>
      <c r="AG52" s="57">
        <f t="shared" si="42"/>
        <v>12723543</v>
      </c>
      <c r="AH52" s="57">
        <f t="shared" si="42"/>
        <v>12723543</v>
      </c>
      <c r="AI52" s="57">
        <f t="shared" si="42"/>
        <v>12723543</v>
      </c>
    </row>
    <row r="53" spans="1:35" s="51" customFormat="1" ht="13.5" x14ac:dyDescent="0.25">
      <c r="A53" s="51">
        <v>3</v>
      </c>
      <c r="B53" s="61" t="s">
        <v>296</v>
      </c>
      <c r="C53" s="7" t="s">
        <v>16</v>
      </c>
      <c r="D53" s="57">
        <f>ROUND((84356+23607+80000+21604+22507+4592+30000+219664+1237649+98902+229400+65954+19874+45859.19)*(1+0.1305),0)</f>
        <v>2468976</v>
      </c>
      <c r="E53" s="57">
        <f t="shared" ref="E53:E58" si="43">D53</f>
        <v>2468976</v>
      </c>
      <c r="F53" s="58">
        <f>ROUND(E53*(1+$M$7),0)</f>
        <v>2498604</v>
      </c>
      <c r="G53" s="57">
        <f t="shared" si="40"/>
        <v>2498604</v>
      </c>
      <c r="H53" s="57">
        <f t="shared" ref="H53:AI53" si="44">G53</f>
        <v>2498604</v>
      </c>
      <c r="I53" s="57">
        <f t="shared" si="44"/>
        <v>2498604</v>
      </c>
      <c r="J53" s="57">
        <f t="shared" si="44"/>
        <v>2498604</v>
      </c>
      <c r="K53" s="57">
        <f t="shared" si="44"/>
        <v>2498604</v>
      </c>
      <c r="L53" s="57">
        <f t="shared" si="44"/>
        <v>2498604</v>
      </c>
      <c r="M53" s="57">
        <f t="shared" si="44"/>
        <v>2498604</v>
      </c>
      <c r="N53" s="57">
        <f t="shared" si="44"/>
        <v>2498604</v>
      </c>
      <c r="O53" s="57">
        <f t="shared" si="44"/>
        <v>2498604</v>
      </c>
      <c r="P53" s="57">
        <f t="shared" si="44"/>
        <v>2498604</v>
      </c>
      <c r="Q53" s="57">
        <f t="shared" si="44"/>
        <v>2498604</v>
      </c>
      <c r="R53" s="57">
        <f t="shared" si="44"/>
        <v>2498604</v>
      </c>
      <c r="S53" s="57">
        <f t="shared" si="44"/>
        <v>2498604</v>
      </c>
      <c r="T53" s="57">
        <f t="shared" si="44"/>
        <v>2498604</v>
      </c>
      <c r="U53" s="57">
        <f t="shared" si="44"/>
        <v>2498604</v>
      </c>
      <c r="V53" s="57">
        <f t="shared" si="44"/>
        <v>2498604</v>
      </c>
      <c r="W53" s="57">
        <f t="shared" si="44"/>
        <v>2498604</v>
      </c>
      <c r="X53" s="57">
        <f t="shared" si="44"/>
        <v>2498604</v>
      </c>
      <c r="Y53" s="57">
        <f t="shared" si="44"/>
        <v>2498604</v>
      </c>
      <c r="Z53" s="57">
        <f t="shared" si="44"/>
        <v>2498604</v>
      </c>
      <c r="AA53" s="57">
        <f t="shared" si="44"/>
        <v>2498604</v>
      </c>
      <c r="AB53" s="57">
        <f t="shared" si="44"/>
        <v>2498604</v>
      </c>
      <c r="AC53" s="57">
        <f t="shared" si="44"/>
        <v>2498604</v>
      </c>
      <c r="AD53" s="57">
        <f t="shared" si="44"/>
        <v>2498604</v>
      </c>
      <c r="AE53" s="57">
        <f t="shared" si="44"/>
        <v>2498604</v>
      </c>
      <c r="AF53" s="57">
        <f t="shared" si="44"/>
        <v>2498604</v>
      </c>
      <c r="AG53" s="57">
        <f t="shared" si="44"/>
        <v>2498604</v>
      </c>
      <c r="AH53" s="57">
        <f t="shared" si="44"/>
        <v>2498604</v>
      </c>
      <c r="AI53" s="57">
        <f t="shared" si="44"/>
        <v>2498604</v>
      </c>
    </row>
    <row r="54" spans="1:35" s="51" customFormat="1" ht="13.5" x14ac:dyDescent="0.25">
      <c r="A54" s="51">
        <v>4</v>
      </c>
      <c r="B54" s="62" t="s">
        <v>294</v>
      </c>
      <c r="C54" s="7" t="s">
        <v>16</v>
      </c>
      <c r="D54" s="57">
        <f>ROUND((333516+85107+311000+181299+83104+7983+265000+285410+1312140+316222+801860+124135+124849+237824.09)*(1+0.1305),0)</f>
        <v>5052712</v>
      </c>
      <c r="E54" s="57">
        <f t="shared" si="43"/>
        <v>5052712</v>
      </c>
      <c r="F54" s="58">
        <f t="shared" ref="F54:F58" si="45">ROUND(E54*(1+$M$7),0)</f>
        <v>5113345</v>
      </c>
      <c r="G54" s="57">
        <f t="shared" si="40"/>
        <v>5113345</v>
      </c>
      <c r="H54" s="57">
        <f t="shared" ref="H54:AI54" si="46">G54</f>
        <v>5113345</v>
      </c>
      <c r="I54" s="57">
        <f t="shared" si="46"/>
        <v>5113345</v>
      </c>
      <c r="J54" s="57">
        <f t="shared" si="46"/>
        <v>5113345</v>
      </c>
      <c r="K54" s="57">
        <f t="shared" si="46"/>
        <v>5113345</v>
      </c>
      <c r="L54" s="57">
        <f t="shared" si="46"/>
        <v>5113345</v>
      </c>
      <c r="M54" s="57">
        <f t="shared" si="46"/>
        <v>5113345</v>
      </c>
      <c r="N54" s="57">
        <f t="shared" si="46"/>
        <v>5113345</v>
      </c>
      <c r="O54" s="57">
        <f t="shared" si="46"/>
        <v>5113345</v>
      </c>
      <c r="P54" s="57">
        <f t="shared" si="46"/>
        <v>5113345</v>
      </c>
      <c r="Q54" s="57">
        <f t="shared" si="46"/>
        <v>5113345</v>
      </c>
      <c r="R54" s="57">
        <f t="shared" si="46"/>
        <v>5113345</v>
      </c>
      <c r="S54" s="57">
        <f t="shared" si="46"/>
        <v>5113345</v>
      </c>
      <c r="T54" s="57">
        <f t="shared" si="46"/>
        <v>5113345</v>
      </c>
      <c r="U54" s="57">
        <f t="shared" si="46"/>
        <v>5113345</v>
      </c>
      <c r="V54" s="57">
        <f t="shared" si="46"/>
        <v>5113345</v>
      </c>
      <c r="W54" s="57">
        <f t="shared" si="46"/>
        <v>5113345</v>
      </c>
      <c r="X54" s="57">
        <f t="shared" si="46"/>
        <v>5113345</v>
      </c>
      <c r="Y54" s="57">
        <f t="shared" si="46"/>
        <v>5113345</v>
      </c>
      <c r="Z54" s="57">
        <f t="shared" si="46"/>
        <v>5113345</v>
      </c>
      <c r="AA54" s="57">
        <f t="shared" si="46"/>
        <v>5113345</v>
      </c>
      <c r="AB54" s="57">
        <f t="shared" si="46"/>
        <v>5113345</v>
      </c>
      <c r="AC54" s="57">
        <f t="shared" si="46"/>
        <v>5113345</v>
      </c>
      <c r="AD54" s="57">
        <f t="shared" si="46"/>
        <v>5113345</v>
      </c>
      <c r="AE54" s="57">
        <f t="shared" si="46"/>
        <v>5113345</v>
      </c>
      <c r="AF54" s="57">
        <f t="shared" si="46"/>
        <v>5113345</v>
      </c>
      <c r="AG54" s="57">
        <f t="shared" si="46"/>
        <v>5113345</v>
      </c>
      <c r="AH54" s="57">
        <f t="shared" si="46"/>
        <v>5113345</v>
      </c>
      <c r="AI54" s="57">
        <f t="shared" si="46"/>
        <v>5113345</v>
      </c>
    </row>
    <row r="55" spans="1:35" s="51" customFormat="1" ht="13.5" x14ac:dyDescent="0.25">
      <c r="A55" s="51">
        <v>5</v>
      </c>
      <c r="B55" s="62" t="s">
        <v>18</v>
      </c>
      <c r="C55" s="7" t="s">
        <v>16</v>
      </c>
      <c r="D55" s="57">
        <f>ROUND((499528+134097+12000+447402+8122+477+320+300+104987+436774+656203+3721616+201840+110738+21425+10725.5+191622.25+181643.22)*(1+0.536),0)</f>
        <v>10352363</v>
      </c>
      <c r="E55" s="57">
        <f t="shared" si="43"/>
        <v>10352363</v>
      </c>
      <c r="F55" s="58">
        <f t="shared" si="45"/>
        <v>10476591</v>
      </c>
      <c r="G55" s="57">
        <f t="shared" si="40"/>
        <v>10476591</v>
      </c>
      <c r="H55" s="57">
        <f t="shared" ref="H55:AI55" si="47">G55</f>
        <v>10476591</v>
      </c>
      <c r="I55" s="57">
        <f t="shared" si="47"/>
        <v>10476591</v>
      </c>
      <c r="J55" s="57">
        <f t="shared" si="47"/>
        <v>10476591</v>
      </c>
      <c r="K55" s="57">
        <f t="shared" si="47"/>
        <v>10476591</v>
      </c>
      <c r="L55" s="57">
        <f t="shared" si="47"/>
        <v>10476591</v>
      </c>
      <c r="M55" s="57">
        <f t="shared" si="47"/>
        <v>10476591</v>
      </c>
      <c r="N55" s="57">
        <f t="shared" si="47"/>
        <v>10476591</v>
      </c>
      <c r="O55" s="57">
        <f t="shared" si="47"/>
        <v>10476591</v>
      </c>
      <c r="P55" s="57">
        <f t="shared" si="47"/>
        <v>10476591</v>
      </c>
      <c r="Q55" s="57">
        <f t="shared" si="47"/>
        <v>10476591</v>
      </c>
      <c r="R55" s="57">
        <f t="shared" si="47"/>
        <v>10476591</v>
      </c>
      <c r="S55" s="57">
        <f t="shared" si="47"/>
        <v>10476591</v>
      </c>
      <c r="T55" s="57">
        <f t="shared" si="47"/>
        <v>10476591</v>
      </c>
      <c r="U55" s="57">
        <f t="shared" si="47"/>
        <v>10476591</v>
      </c>
      <c r="V55" s="57">
        <f t="shared" si="47"/>
        <v>10476591</v>
      </c>
      <c r="W55" s="57">
        <f t="shared" si="47"/>
        <v>10476591</v>
      </c>
      <c r="X55" s="57">
        <f t="shared" si="47"/>
        <v>10476591</v>
      </c>
      <c r="Y55" s="57">
        <f t="shared" si="47"/>
        <v>10476591</v>
      </c>
      <c r="Z55" s="57">
        <f t="shared" si="47"/>
        <v>10476591</v>
      </c>
      <c r="AA55" s="57">
        <f t="shared" si="47"/>
        <v>10476591</v>
      </c>
      <c r="AB55" s="57">
        <f t="shared" si="47"/>
        <v>10476591</v>
      </c>
      <c r="AC55" s="57">
        <f t="shared" si="47"/>
        <v>10476591</v>
      </c>
      <c r="AD55" s="57">
        <f t="shared" si="47"/>
        <v>10476591</v>
      </c>
      <c r="AE55" s="57">
        <f t="shared" si="47"/>
        <v>10476591</v>
      </c>
      <c r="AF55" s="57">
        <f t="shared" si="47"/>
        <v>10476591</v>
      </c>
      <c r="AG55" s="57">
        <f t="shared" si="47"/>
        <v>10476591</v>
      </c>
      <c r="AH55" s="57">
        <f t="shared" si="47"/>
        <v>10476591</v>
      </c>
      <c r="AI55" s="57">
        <f t="shared" si="47"/>
        <v>10476591</v>
      </c>
    </row>
    <row r="56" spans="1:35" s="51" customFormat="1" ht="13.5" x14ac:dyDescent="0.25">
      <c r="A56" s="51">
        <v>6</v>
      </c>
      <c r="B56" s="62" t="s">
        <v>17</v>
      </c>
      <c r="C56" s="7" t="s">
        <v>16</v>
      </c>
      <c r="D56" s="57">
        <f>ROUND((1346400+31299+332376+7315+231765+166632+327930+291358+1202000+330433+2130801+67977+140000+135217+925503+20529+925503+220527.31)*(1+0.1305),0)</f>
        <v>9986346</v>
      </c>
      <c r="E56" s="57">
        <f t="shared" si="43"/>
        <v>9986346</v>
      </c>
      <c r="F56" s="58">
        <f t="shared" si="45"/>
        <v>10106182</v>
      </c>
      <c r="G56" s="57">
        <f t="shared" si="40"/>
        <v>10106182</v>
      </c>
      <c r="H56" s="57">
        <f t="shared" ref="H56:AI56" si="48">G56</f>
        <v>10106182</v>
      </c>
      <c r="I56" s="57">
        <f t="shared" si="48"/>
        <v>10106182</v>
      </c>
      <c r="J56" s="57">
        <f t="shared" si="48"/>
        <v>10106182</v>
      </c>
      <c r="K56" s="57">
        <f t="shared" si="48"/>
        <v>10106182</v>
      </c>
      <c r="L56" s="57">
        <f t="shared" si="48"/>
        <v>10106182</v>
      </c>
      <c r="M56" s="57">
        <f t="shared" si="48"/>
        <v>10106182</v>
      </c>
      <c r="N56" s="57">
        <f t="shared" si="48"/>
        <v>10106182</v>
      </c>
      <c r="O56" s="57">
        <f t="shared" si="48"/>
        <v>10106182</v>
      </c>
      <c r="P56" s="57">
        <f t="shared" si="48"/>
        <v>10106182</v>
      </c>
      <c r="Q56" s="57">
        <f t="shared" si="48"/>
        <v>10106182</v>
      </c>
      <c r="R56" s="57">
        <f t="shared" si="48"/>
        <v>10106182</v>
      </c>
      <c r="S56" s="57">
        <f t="shared" si="48"/>
        <v>10106182</v>
      </c>
      <c r="T56" s="57">
        <f t="shared" si="48"/>
        <v>10106182</v>
      </c>
      <c r="U56" s="57">
        <f t="shared" si="48"/>
        <v>10106182</v>
      </c>
      <c r="V56" s="57">
        <f t="shared" si="48"/>
        <v>10106182</v>
      </c>
      <c r="W56" s="57">
        <f t="shared" si="48"/>
        <v>10106182</v>
      </c>
      <c r="X56" s="57">
        <f t="shared" si="48"/>
        <v>10106182</v>
      </c>
      <c r="Y56" s="57">
        <f t="shared" si="48"/>
        <v>10106182</v>
      </c>
      <c r="Z56" s="57">
        <f t="shared" si="48"/>
        <v>10106182</v>
      </c>
      <c r="AA56" s="57">
        <f t="shared" si="48"/>
        <v>10106182</v>
      </c>
      <c r="AB56" s="57">
        <f t="shared" si="48"/>
        <v>10106182</v>
      </c>
      <c r="AC56" s="57">
        <f t="shared" si="48"/>
        <v>10106182</v>
      </c>
      <c r="AD56" s="57">
        <f t="shared" si="48"/>
        <v>10106182</v>
      </c>
      <c r="AE56" s="57">
        <f t="shared" si="48"/>
        <v>10106182</v>
      </c>
      <c r="AF56" s="57">
        <f t="shared" si="48"/>
        <v>10106182</v>
      </c>
      <c r="AG56" s="57">
        <f t="shared" si="48"/>
        <v>10106182</v>
      </c>
      <c r="AH56" s="57">
        <f t="shared" si="48"/>
        <v>10106182</v>
      </c>
      <c r="AI56" s="57">
        <f t="shared" si="48"/>
        <v>10106182</v>
      </c>
    </row>
    <row r="57" spans="1:35" s="51" customFormat="1" ht="13.5" x14ac:dyDescent="0.25">
      <c r="A57" s="51">
        <v>7</v>
      </c>
      <c r="B57" s="62" t="s">
        <v>297</v>
      </c>
      <c r="C57" s="7" t="s">
        <v>16</v>
      </c>
      <c r="D57" s="57">
        <f>ROUND((175377+12807+28000+31372+39601+13667+74306+37909+30000+45000+2414)*(1+0.1305),0)</f>
        <v>554457</v>
      </c>
      <c r="E57" s="57">
        <f t="shared" si="43"/>
        <v>554457</v>
      </c>
      <c r="F57" s="58">
        <f t="shared" si="45"/>
        <v>561110</v>
      </c>
      <c r="G57" s="57">
        <f t="shared" si="40"/>
        <v>561110</v>
      </c>
      <c r="H57" s="57">
        <f t="shared" ref="H57:AI57" si="49">G57</f>
        <v>561110</v>
      </c>
      <c r="I57" s="57">
        <f t="shared" si="49"/>
        <v>561110</v>
      </c>
      <c r="J57" s="57">
        <f t="shared" si="49"/>
        <v>561110</v>
      </c>
      <c r="K57" s="57">
        <f t="shared" si="49"/>
        <v>561110</v>
      </c>
      <c r="L57" s="57">
        <f t="shared" si="49"/>
        <v>561110</v>
      </c>
      <c r="M57" s="57">
        <f t="shared" si="49"/>
        <v>561110</v>
      </c>
      <c r="N57" s="57">
        <f t="shared" si="49"/>
        <v>561110</v>
      </c>
      <c r="O57" s="57">
        <f t="shared" si="49"/>
        <v>561110</v>
      </c>
      <c r="P57" s="57">
        <f t="shared" si="49"/>
        <v>561110</v>
      </c>
      <c r="Q57" s="57">
        <f t="shared" si="49"/>
        <v>561110</v>
      </c>
      <c r="R57" s="57">
        <f t="shared" si="49"/>
        <v>561110</v>
      </c>
      <c r="S57" s="57">
        <f t="shared" si="49"/>
        <v>561110</v>
      </c>
      <c r="T57" s="57">
        <f t="shared" si="49"/>
        <v>561110</v>
      </c>
      <c r="U57" s="57">
        <f t="shared" si="49"/>
        <v>561110</v>
      </c>
      <c r="V57" s="57">
        <f t="shared" si="49"/>
        <v>561110</v>
      </c>
      <c r="W57" s="57">
        <f t="shared" si="49"/>
        <v>561110</v>
      </c>
      <c r="X57" s="57">
        <f t="shared" si="49"/>
        <v>561110</v>
      </c>
      <c r="Y57" s="57">
        <f t="shared" si="49"/>
        <v>561110</v>
      </c>
      <c r="Z57" s="57">
        <f t="shared" si="49"/>
        <v>561110</v>
      </c>
      <c r="AA57" s="57">
        <f t="shared" si="49"/>
        <v>561110</v>
      </c>
      <c r="AB57" s="57">
        <f t="shared" si="49"/>
        <v>561110</v>
      </c>
      <c r="AC57" s="57">
        <f t="shared" si="49"/>
        <v>561110</v>
      </c>
      <c r="AD57" s="57">
        <f t="shared" si="49"/>
        <v>561110</v>
      </c>
      <c r="AE57" s="57">
        <f t="shared" si="49"/>
        <v>561110</v>
      </c>
      <c r="AF57" s="57">
        <f t="shared" si="49"/>
        <v>561110</v>
      </c>
      <c r="AG57" s="57">
        <f t="shared" si="49"/>
        <v>561110</v>
      </c>
      <c r="AH57" s="57">
        <f t="shared" si="49"/>
        <v>561110</v>
      </c>
      <c r="AI57" s="57">
        <f t="shared" si="49"/>
        <v>561110</v>
      </c>
    </row>
    <row r="58" spans="1:35" s="51" customFormat="1" ht="14.25" thickBot="1" x14ac:dyDescent="0.3">
      <c r="A58" s="51">
        <v>8</v>
      </c>
      <c r="B58" s="63" t="s">
        <v>298</v>
      </c>
      <c r="C58" s="66" t="s">
        <v>16</v>
      </c>
      <c r="D58" s="67">
        <f>ROUND((95621+31145+196128+85497+57444+53770+4250+146187+4175898+185944+84396+40000+170432+596018+513067)*(1+0.1305),0)</f>
        <v>7275669</v>
      </c>
      <c r="E58" s="67">
        <f t="shared" si="43"/>
        <v>7275669</v>
      </c>
      <c r="F58" s="68">
        <f t="shared" si="45"/>
        <v>7362977</v>
      </c>
      <c r="G58" s="67">
        <f t="shared" si="40"/>
        <v>7362977</v>
      </c>
      <c r="H58" s="67">
        <f t="shared" ref="H58:AI58" si="50">G58</f>
        <v>7362977</v>
      </c>
      <c r="I58" s="67">
        <f t="shared" si="50"/>
        <v>7362977</v>
      </c>
      <c r="J58" s="67">
        <f t="shared" si="50"/>
        <v>7362977</v>
      </c>
      <c r="K58" s="67">
        <f t="shared" si="50"/>
        <v>7362977</v>
      </c>
      <c r="L58" s="67">
        <f t="shared" si="50"/>
        <v>7362977</v>
      </c>
      <c r="M58" s="67">
        <f t="shared" si="50"/>
        <v>7362977</v>
      </c>
      <c r="N58" s="67">
        <f t="shared" si="50"/>
        <v>7362977</v>
      </c>
      <c r="O58" s="67">
        <f t="shared" si="50"/>
        <v>7362977</v>
      </c>
      <c r="P58" s="67">
        <f t="shared" si="50"/>
        <v>7362977</v>
      </c>
      <c r="Q58" s="67">
        <f t="shared" si="50"/>
        <v>7362977</v>
      </c>
      <c r="R58" s="67">
        <f t="shared" si="50"/>
        <v>7362977</v>
      </c>
      <c r="S58" s="67">
        <f t="shared" si="50"/>
        <v>7362977</v>
      </c>
      <c r="T58" s="67">
        <f t="shared" si="50"/>
        <v>7362977</v>
      </c>
      <c r="U58" s="67">
        <f t="shared" si="50"/>
        <v>7362977</v>
      </c>
      <c r="V58" s="67">
        <f t="shared" si="50"/>
        <v>7362977</v>
      </c>
      <c r="W58" s="67">
        <f t="shared" si="50"/>
        <v>7362977</v>
      </c>
      <c r="X58" s="67">
        <f t="shared" si="50"/>
        <v>7362977</v>
      </c>
      <c r="Y58" s="67">
        <f t="shared" si="50"/>
        <v>7362977</v>
      </c>
      <c r="Z58" s="67">
        <f t="shared" si="50"/>
        <v>7362977</v>
      </c>
      <c r="AA58" s="67">
        <f t="shared" si="50"/>
        <v>7362977</v>
      </c>
      <c r="AB58" s="67">
        <f t="shared" si="50"/>
        <v>7362977</v>
      </c>
      <c r="AC58" s="67">
        <f t="shared" si="50"/>
        <v>7362977</v>
      </c>
      <c r="AD58" s="67">
        <f t="shared" si="50"/>
        <v>7362977</v>
      </c>
      <c r="AE58" s="67">
        <f t="shared" si="50"/>
        <v>7362977</v>
      </c>
      <c r="AF58" s="67">
        <f t="shared" si="50"/>
        <v>7362977</v>
      </c>
      <c r="AG58" s="67">
        <f t="shared" si="50"/>
        <v>7362977</v>
      </c>
      <c r="AH58" s="67">
        <f t="shared" si="50"/>
        <v>7362977</v>
      </c>
      <c r="AI58" s="67">
        <f t="shared" si="50"/>
        <v>7362977</v>
      </c>
    </row>
    <row r="59" spans="1:35" s="51" customFormat="1" ht="13.5" x14ac:dyDescent="0.25">
      <c r="B59" s="75"/>
      <c r="C59" s="76"/>
      <c r="D59" s="77">
        <f>SUM(D51:D58)</f>
        <v>64352695</v>
      </c>
      <c r="E59" s="77">
        <f>SUM(E51:E58)</f>
        <v>64488151</v>
      </c>
      <c r="F59" s="78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</row>
    <row r="60" spans="1:35" ht="15.75" x14ac:dyDescent="0.2">
      <c r="B60" s="233" t="s">
        <v>281</v>
      </c>
      <c r="C60" s="71"/>
      <c r="D60" s="268"/>
      <c r="E60" s="93"/>
      <c r="F60" s="267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</row>
    <row r="61" spans="1:35" s="51" customFormat="1" ht="13.5" x14ac:dyDescent="0.25">
      <c r="B61" s="20" t="s">
        <v>20</v>
      </c>
      <c r="C61" s="52"/>
      <c r="D61" s="18">
        <f t="shared" ref="D61:AI61" si="51">D21</f>
        <v>2013</v>
      </c>
      <c r="E61" s="18">
        <f t="shared" si="51"/>
        <v>2014</v>
      </c>
      <c r="F61" s="18">
        <f t="shared" si="51"/>
        <v>2015</v>
      </c>
      <c r="G61" s="18">
        <f t="shared" si="51"/>
        <v>2016</v>
      </c>
      <c r="H61" s="18">
        <f t="shared" si="51"/>
        <v>2017</v>
      </c>
      <c r="I61" s="18">
        <f t="shared" si="51"/>
        <v>2018</v>
      </c>
      <c r="J61" s="18">
        <f t="shared" si="51"/>
        <v>2019</v>
      </c>
      <c r="K61" s="18">
        <f t="shared" si="51"/>
        <v>2020</v>
      </c>
      <c r="L61" s="18">
        <f t="shared" si="51"/>
        <v>2021</v>
      </c>
      <c r="M61" s="18">
        <f t="shared" si="51"/>
        <v>2022</v>
      </c>
      <c r="N61" s="18">
        <f t="shared" si="51"/>
        <v>2023</v>
      </c>
      <c r="O61" s="18">
        <f t="shared" si="51"/>
        <v>2024</v>
      </c>
      <c r="P61" s="18">
        <f t="shared" si="51"/>
        <v>2025</v>
      </c>
      <c r="Q61" s="18">
        <f t="shared" si="51"/>
        <v>2026</v>
      </c>
      <c r="R61" s="18">
        <f t="shared" si="51"/>
        <v>2027</v>
      </c>
      <c r="S61" s="18">
        <f t="shared" si="51"/>
        <v>2028</v>
      </c>
      <c r="T61" s="18">
        <f t="shared" si="51"/>
        <v>2029</v>
      </c>
      <c r="U61" s="18">
        <f t="shared" si="51"/>
        <v>2030</v>
      </c>
      <c r="V61" s="18">
        <f t="shared" si="51"/>
        <v>2031</v>
      </c>
      <c r="W61" s="18">
        <f t="shared" si="51"/>
        <v>2032</v>
      </c>
      <c r="X61" s="18">
        <f t="shared" si="51"/>
        <v>2033</v>
      </c>
      <c r="Y61" s="18">
        <f t="shared" si="51"/>
        <v>2034</v>
      </c>
      <c r="Z61" s="18">
        <f t="shared" si="51"/>
        <v>2035</v>
      </c>
      <c r="AA61" s="18">
        <f t="shared" si="51"/>
        <v>2036</v>
      </c>
      <c r="AB61" s="18">
        <f t="shared" si="51"/>
        <v>2037</v>
      </c>
      <c r="AC61" s="18">
        <f t="shared" si="51"/>
        <v>2038</v>
      </c>
      <c r="AD61" s="18">
        <f t="shared" si="51"/>
        <v>2039</v>
      </c>
      <c r="AE61" s="18">
        <f t="shared" si="51"/>
        <v>2040</v>
      </c>
      <c r="AF61" s="18">
        <f t="shared" si="51"/>
        <v>2041</v>
      </c>
      <c r="AG61" s="18">
        <f t="shared" si="51"/>
        <v>2042</v>
      </c>
      <c r="AH61" s="18">
        <f t="shared" si="51"/>
        <v>2043</v>
      </c>
      <c r="AI61" s="18">
        <f t="shared" si="51"/>
        <v>2044</v>
      </c>
    </row>
    <row r="62" spans="1:35" s="1" customFormat="1" ht="13.5" x14ac:dyDescent="0.25">
      <c r="A62" s="51"/>
      <c r="B62" s="13" t="s">
        <v>327</v>
      </c>
      <c r="C62" s="7" t="s">
        <v>9</v>
      </c>
      <c r="D62" s="56">
        <f t="shared" ref="D62:AI62" si="52">D22+D120</f>
        <v>57524</v>
      </c>
      <c r="E62" s="56">
        <f t="shared" si="52"/>
        <v>57524</v>
      </c>
      <c r="F62" s="56">
        <f t="shared" si="52"/>
        <v>57524</v>
      </c>
      <c r="G62" s="56">
        <f t="shared" si="52"/>
        <v>57524</v>
      </c>
      <c r="H62" s="56">
        <f t="shared" si="52"/>
        <v>57524</v>
      </c>
      <c r="I62" s="56">
        <f t="shared" si="52"/>
        <v>57524</v>
      </c>
      <c r="J62" s="56">
        <f t="shared" si="52"/>
        <v>57524</v>
      </c>
      <c r="K62" s="56">
        <f t="shared" si="52"/>
        <v>57524</v>
      </c>
      <c r="L62" s="56">
        <f t="shared" si="52"/>
        <v>64124</v>
      </c>
      <c r="M62" s="56">
        <f t="shared" si="52"/>
        <v>64124</v>
      </c>
      <c r="N62" s="56">
        <f t="shared" si="52"/>
        <v>64124</v>
      </c>
      <c r="O62" s="56">
        <f t="shared" si="52"/>
        <v>64124</v>
      </c>
      <c r="P62" s="56">
        <f t="shared" si="52"/>
        <v>64124</v>
      </c>
      <c r="Q62" s="56">
        <f t="shared" si="52"/>
        <v>64124</v>
      </c>
      <c r="R62" s="56">
        <f t="shared" si="52"/>
        <v>64124</v>
      </c>
      <c r="S62" s="56">
        <f t="shared" si="52"/>
        <v>64124</v>
      </c>
      <c r="T62" s="56">
        <f t="shared" si="52"/>
        <v>64124</v>
      </c>
      <c r="U62" s="56">
        <f t="shared" si="52"/>
        <v>64124</v>
      </c>
      <c r="V62" s="56">
        <f t="shared" si="52"/>
        <v>64124</v>
      </c>
      <c r="W62" s="56">
        <f t="shared" si="52"/>
        <v>64124</v>
      </c>
      <c r="X62" s="56">
        <f t="shared" si="52"/>
        <v>64124</v>
      </c>
      <c r="Y62" s="56">
        <f t="shared" si="52"/>
        <v>64124</v>
      </c>
      <c r="Z62" s="56">
        <f t="shared" si="52"/>
        <v>64124</v>
      </c>
      <c r="AA62" s="56">
        <f t="shared" si="52"/>
        <v>64124</v>
      </c>
      <c r="AB62" s="56">
        <f t="shared" si="52"/>
        <v>64124</v>
      </c>
      <c r="AC62" s="56">
        <f t="shared" si="52"/>
        <v>64124</v>
      </c>
      <c r="AD62" s="56">
        <f t="shared" si="52"/>
        <v>64124</v>
      </c>
      <c r="AE62" s="56">
        <f t="shared" si="52"/>
        <v>64124</v>
      </c>
      <c r="AF62" s="56">
        <f t="shared" si="52"/>
        <v>64124</v>
      </c>
      <c r="AG62" s="56">
        <f t="shared" si="52"/>
        <v>64124</v>
      </c>
      <c r="AH62" s="56">
        <f t="shared" si="52"/>
        <v>64124</v>
      </c>
      <c r="AI62" s="56">
        <f t="shared" si="52"/>
        <v>64124</v>
      </c>
    </row>
    <row r="63" spans="1:35" s="1" customFormat="1" ht="23.25" customHeight="1" x14ac:dyDescent="0.25">
      <c r="A63" s="51"/>
      <c r="B63" s="16" t="s">
        <v>274</v>
      </c>
      <c r="C63" s="7" t="s">
        <v>21</v>
      </c>
      <c r="D63" s="444">
        <f>D23</f>
        <v>0.09</v>
      </c>
      <c r="E63" s="444">
        <f t="shared" ref="E63:T63" si="53">D63</f>
        <v>0.09</v>
      </c>
      <c r="F63" s="445">
        <f t="shared" si="53"/>
        <v>0.09</v>
      </c>
      <c r="G63" s="444">
        <f t="shared" si="53"/>
        <v>0.09</v>
      </c>
      <c r="H63" s="444">
        <f t="shared" si="53"/>
        <v>0.09</v>
      </c>
      <c r="I63" s="444">
        <f t="shared" si="53"/>
        <v>0.09</v>
      </c>
      <c r="J63" s="444">
        <f t="shared" si="53"/>
        <v>0.09</v>
      </c>
      <c r="K63" s="444">
        <f t="shared" si="53"/>
        <v>0.09</v>
      </c>
      <c r="L63" s="444">
        <f t="shared" si="53"/>
        <v>0.09</v>
      </c>
      <c r="M63" s="444">
        <f t="shared" si="53"/>
        <v>0.09</v>
      </c>
      <c r="N63" s="444">
        <f t="shared" si="53"/>
        <v>0.09</v>
      </c>
      <c r="O63" s="444">
        <f t="shared" si="53"/>
        <v>0.09</v>
      </c>
      <c r="P63" s="444">
        <f t="shared" si="53"/>
        <v>0.09</v>
      </c>
      <c r="Q63" s="444">
        <f t="shared" si="53"/>
        <v>0.09</v>
      </c>
      <c r="R63" s="444">
        <f t="shared" si="53"/>
        <v>0.09</v>
      </c>
      <c r="S63" s="444">
        <f t="shared" si="53"/>
        <v>0.09</v>
      </c>
      <c r="T63" s="444">
        <f t="shared" si="53"/>
        <v>0.09</v>
      </c>
      <c r="U63" s="444">
        <f t="shared" ref="U63:AI63" si="54">T63</f>
        <v>0.09</v>
      </c>
      <c r="V63" s="444">
        <f t="shared" si="54"/>
        <v>0.09</v>
      </c>
      <c r="W63" s="444">
        <f t="shared" si="54"/>
        <v>0.09</v>
      </c>
      <c r="X63" s="444">
        <f t="shared" si="54"/>
        <v>0.09</v>
      </c>
      <c r="Y63" s="444">
        <f t="shared" si="54"/>
        <v>0.09</v>
      </c>
      <c r="Z63" s="444">
        <f t="shared" si="54"/>
        <v>0.09</v>
      </c>
      <c r="AA63" s="444">
        <f t="shared" si="54"/>
        <v>0.09</v>
      </c>
      <c r="AB63" s="444">
        <f t="shared" si="54"/>
        <v>0.09</v>
      </c>
      <c r="AC63" s="444">
        <f t="shared" si="54"/>
        <v>0.09</v>
      </c>
      <c r="AD63" s="444">
        <f t="shared" si="54"/>
        <v>0.09</v>
      </c>
      <c r="AE63" s="444">
        <f t="shared" si="54"/>
        <v>0.09</v>
      </c>
      <c r="AF63" s="444">
        <f t="shared" si="54"/>
        <v>0.09</v>
      </c>
      <c r="AG63" s="444">
        <f t="shared" si="54"/>
        <v>0.09</v>
      </c>
      <c r="AH63" s="444">
        <f t="shared" si="54"/>
        <v>0.09</v>
      </c>
      <c r="AI63" s="444">
        <f t="shared" si="54"/>
        <v>0.09</v>
      </c>
    </row>
    <row r="64" spans="1:35" s="51" customFormat="1" ht="13.5" x14ac:dyDescent="0.25">
      <c r="B64" s="59" t="s">
        <v>264</v>
      </c>
      <c r="C64" s="7" t="s">
        <v>10</v>
      </c>
      <c r="D64" s="57">
        <f>D24</f>
        <v>5.47</v>
      </c>
      <c r="E64" s="57">
        <f t="shared" ref="E64:AI64" si="55">E24</f>
        <v>5.47</v>
      </c>
      <c r="F64" s="58">
        <f t="shared" si="55"/>
        <v>5.47</v>
      </c>
      <c r="G64" s="57">
        <f t="shared" si="55"/>
        <v>5.47</v>
      </c>
      <c r="H64" s="57">
        <f t="shared" si="55"/>
        <v>5.47</v>
      </c>
      <c r="I64" s="57">
        <f t="shared" si="55"/>
        <v>5.47</v>
      </c>
      <c r="J64" s="57">
        <f t="shared" si="55"/>
        <v>5.47</v>
      </c>
      <c r="K64" s="57">
        <f t="shared" si="55"/>
        <v>5.47</v>
      </c>
      <c r="L64" s="57">
        <f t="shared" si="55"/>
        <v>5.47</v>
      </c>
      <c r="M64" s="57">
        <f t="shared" si="55"/>
        <v>5.47</v>
      </c>
      <c r="N64" s="57">
        <f t="shared" si="55"/>
        <v>5.47</v>
      </c>
      <c r="O64" s="57">
        <f t="shared" si="55"/>
        <v>5.47</v>
      </c>
      <c r="P64" s="57">
        <f t="shared" si="55"/>
        <v>5.47</v>
      </c>
      <c r="Q64" s="57">
        <f t="shared" si="55"/>
        <v>5.47</v>
      </c>
      <c r="R64" s="57">
        <f t="shared" si="55"/>
        <v>5.47</v>
      </c>
      <c r="S64" s="57">
        <f t="shared" si="55"/>
        <v>5.47</v>
      </c>
      <c r="T64" s="57">
        <f t="shared" si="55"/>
        <v>5.47</v>
      </c>
      <c r="U64" s="57">
        <f t="shared" si="55"/>
        <v>5.47</v>
      </c>
      <c r="V64" s="57">
        <f t="shared" si="55"/>
        <v>5.47</v>
      </c>
      <c r="W64" s="57">
        <f t="shared" si="55"/>
        <v>5.47</v>
      </c>
      <c r="X64" s="57">
        <f t="shared" si="55"/>
        <v>5.47</v>
      </c>
      <c r="Y64" s="57">
        <f t="shared" si="55"/>
        <v>5.47</v>
      </c>
      <c r="Z64" s="57">
        <f t="shared" si="55"/>
        <v>5.47</v>
      </c>
      <c r="AA64" s="57">
        <f t="shared" si="55"/>
        <v>5.47</v>
      </c>
      <c r="AB64" s="57">
        <f t="shared" si="55"/>
        <v>5.47</v>
      </c>
      <c r="AC64" s="57">
        <f t="shared" si="55"/>
        <v>5.47</v>
      </c>
      <c r="AD64" s="57">
        <f t="shared" si="55"/>
        <v>5.47</v>
      </c>
      <c r="AE64" s="57">
        <f t="shared" si="55"/>
        <v>5.47</v>
      </c>
      <c r="AF64" s="57">
        <f t="shared" si="55"/>
        <v>5.47</v>
      </c>
      <c r="AG64" s="57">
        <f t="shared" si="55"/>
        <v>5.47</v>
      </c>
      <c r="AH64" s="57">
        <f t="shared" si="55"/>
        <v>5.47</v>
      </c>
      <c r="AI64" s="57">
        <f t="shared" si="55"/>
        <v>5.47</v>
      </c>
    </row>
    <row r="65" spans="1:35" s="1" customFormat="1" ht="27" x14ac:dyDescent="0.25">
      <c r="A65" s="51"/>
      <c r="B65" s="13" t="s">
        <v>277</v>
      </c>
      <c r="C65" s="7" t="s">
        <v>12</v>
      </c>
      <c r="D65" s="56">
        <f t="shared" ref="D65:AI65" si="56">D25+D123</f>
        <v>3431</v>
      </c>
      <c r="E65" s="56">
        <f t="shared" si="56"/>
        <v>3431</v>
      </c>
      <c r="F65" s="56">
        <f t="shared" si="56"/>
        <v>3431</v>
      </c>
      <c r="G65" s="56">
        <f t="shared" si="56"/>
        <v>3431</v>
      </c>
      <c r="H65" s="56">
        <f t="shared" si="56"/>
        <v>3431</v>
      </c>
      <c r="I65" s="56">
        <f t="shared" si="56"/>
        <v>3431</v>
      </c>
      <c r="J65" s="56">
        <f t="shared" si="56"/>
        <v>3431</v>
      </c>
      <c r="K65" s="56">
        <f t="shared" si="56"/>
        <v>3431</v>
      </c>
      <c r="L65" s="56">
        <f t="shared" si="56"/>
        <v>3441</v>
      </c>
      <c r="M65" s="56">
        <f t="shared" si="56"/>
        <v>3441</v>
      </c>
      <c r="N65" s="56">
        <f t="shared" si="56"/>
        <v>3441</v>
      </c>
      <c r="O65" s="56">
        <f t="shared" si="56"/>
        <v>3441</v>
      </c>
      <c r="P65" s="56">
        <f t="shared" si="56"/>
        <v>3441</v>
      </c>
      <c r="Q65" s="56">
        <f t="shared" si="56"/>
        <v>3441</v>
      </c>
      <c r="R65" s="56">
        <f t="shared" si="56"/>
        <v>3441</v>
      </c>
      <c r="S65" s="56">
        <f t="shared" si="56"/>
        <v>3441</v>
      </c>
      <c r="T65" s="56">
        <f t="shared" si="56"/>
        <v>3441</v>
      </c>
      <c r="U65" s="56">
        <f t="shared" si="56"/>
        <v>3441</v>
      </c>
      <c r="V65" s="56">
        <f t="shared" si="56"/>
        <v>3441</v>
      </c>
      <c r="W65" s="56">
        <f t="shared" si="56"/>
        <v>3441</v>
      </c>
      <c r="X65" s="56">
        <f t="shared" si="56"/>
        <v>3441</v>
      </c>
      <c r="Y65" s="56">
        <f t="shared" si="56"/>
        <v>3441</v>
      </c>
      <c r="Z65" s="56">
        <f t="shared" si="56"/>
        <v>3441</v>
      </c>
      <c r="AA65" s="56">
        <f t="shared" si="56"/>
        <v>3441</v>
      </c>
      <c r="AB65" s="56">
        <f t="shared" si="56"/>
        <v>3441</v>
      </c>
      <c r="AC65" s="56">
        <f t="shared" si="56"/>
        <v>3441</v>
      </c>
      <c r="AD65" s="56">
        <f t="shared" si="56"/>
        <v>3441</v>
      </c>
      <c r="AE65" s="56">
        <f t="shared" si="56"/>
        <v>3441</v>
      </c>
      <c r="AF65" s="56">
        <f t="shared" si="56"/>
        <v>3441</v>
      </c>
      <c r="AG65" s="56">
        <f t="shared" si="56"/>
        <v>3441</v>
      </c>
      <c r="AH65" s="56">
        <f t="shared" si="56"/>
        <v>3441</v>
      </c>
      <c r="AI65" s="56">
        <f t="shared" si="56"/>
        <v>3441</v>
      </c>
    </row>
    <row r="66" spans="1:35" s="1" customFormat="1" ht="13.5" x14ac:dyDescent="0.25">
      <c r="A66" s="51"/>
      <c r="B66" s="13" t="s">
        <v>271</v>
      </c>
      <c r="C66" s="7" t="s">
        <v>13</v>
      </c>
      <c r="D66" s="444">
        <f>D26</f>
        <v>1.04</v>
      </c>
      <c r="E66" s="444">
        <f t="shared" ref="E66:T68" si="57">D66</f>
        <v>1.04</v>
      </c>
      <c r="F66" s="445">
        <f t="shared" si="57"/>
        <v>1.04</v>
      </c>
      <c r="G66" s="444">
        <f t="shared" si="57"/>
        <v>1.04</v>
      </c>
      <c r="H66" s="444">
        <f t="shared" si="57"/>
        <v>1.04</v>
      </c>
      <c r="I66" s="444">
        <f t="shared" si="57"/>
        <v>1.04</v>
      </c>
      <c r="J66" s="444">
        <f t="shared" si="57"/>
        <v>1.04</v>
      </c>
      <c r="K66" s="444">
        <f t="shared" si="57"/>
        <v>1.04</v>
      </c>
      <c r="L66" s="444">
        <f t="shared" si="57"/>
        <v>1.04</v>
      </c>
      <c r="M66" s="444">
        <f t="shared" si="57"/>
        <v>1.04</v>
      </c>
      <c r="N66" s="444">
        <f t="shared" si="57"/>
        <v>1.04</v>
      </c>
      <c r="O66" s="444">
        <f t="shared" si="57"/>
        <v>1.04</v>
      </c>
      <c r="P66" s="444">
        <f t="shared" si="57"/>
        <v>1.04</v>
      </c>
      <c r="Q66" s="444">
        <f t="shared" si="57"/>
        <v>1.04</v>
      </c>
      <c r="R66" s="444">
        <f t="shared" si="57"/>
        <v>1.04</v>
      </c>
      <c r="S66" s="444">
        <f t="shared" si="57"/>
        <v>1.04</v>
      </c>
      <c r="T66" s="444">
        <f t="shared" si="57"/>
        <v>1.04</v>
      </c>
      <c r="U66" s="444">
        <f t="shared" ref="U66:AI68" si="58">T66</f>
        <v>1.04</v>
      </c>
      <c r="V66" s="444">
        <f t="shared" si="58"/>
        <v>1.04</v>
      </c>
      <c r="W66" s="444">
        <f t="shared" si="58"/>
        <v>1.04</v>
      </c>
      <c r="X66" s="444">
        <f t="shared" si="58"/>
        <v>1.04</v>
      </c>
      <c r="Y66" s="444">
        <f t="shared" si="58"/>
        <v>1.04</v>
      </c>
      <c r="Z66" s="444">
        <f t="shared" si="58"/>
        <v>1.04</v>
      </c>
      <c r="AA66" s="444">
        <f t="shared" si="58"/>
        <v>1.04</v>
      </c>
      <c r="AB66" s="444">
        <f t="shared" si="58"/>
        <v>1.04</v>
      </c>
      <c r="AC66" s="444">
        <f t="shared" si="58"/>
        <v>1.04</v>
      </c>
      <c r="AD66" s="444">
        <f t="shared" si="58"/>
        <v>1.04</v>
      </c>
      <c r="AE66" s="444">
        <f t="shared" si="58"/>
        <v>1.04</v>
      </c>
      <c r="AF66" s="444">
        <f t="shared" si="58"/>
        <v>1.04</v>
      </c>
      <c r="AG66" s="444">
        <f t="shared" si="58"/>
        <v>1.04</v>
      </c>
      <c r="AH66" s="444">
        <f t="shared" si="58"/>
        <v>1.04</v>
      </c>
      <c r="AI66" s="444">
        <f t="shared" si="58"/>
        <v>1.04</v>
      </c>
    </row>
    <row r="67" spans="1:35" s="1" customFormat="1" ht="27" x14ac:dyDescent="0.25">
      <c r="A67" s="51"/>
      <c r="B67" s="13" t="s">
        <v>278</v>
      </c>
      <c r="C67" s="7" t="s">
        <v>12</v>
      </c>
      <c r="D67" s="56">
        <f t="shared" ref="D67:AI67" si="59">D27+D125</f>
        <v>31107</v>
      </c>
      <c r="E67" s="56">
        <f t="shared" si="59"/>
        <v>31107</v>
      </c>
      <c r="F67" s="56">
        <f t="shared" si="59"/>
        <v>31107</v>
      </c>
      <c r="G67" s="56">
        <f t="shared" si="59"/>
        <v>31107</v>
      </c>
      <c r="H67" s="56">
        <f t="shared" si="59"/>
        <v>31107</v>
      </c>
      <c r="I67" s="56">
        <f t="shared" si="59"/>
        <v>31107</v>
      </c>
      <c r="J67" s="56">
        <f t="shared" si="59"/>
        <v>31107</v>
      </c>
      <c r="K67" s="56">
        <f t="shared" si="59"/>
        <v>31107</v>
      </c>
      <c r="L67" s="56">
        <f t="shared" si="59"/>
        <v>31507</v>
      </c>
      <c r="M67" s="56">
        <f t="shared" si="59"/>
        <v>31507</v>
      </c>
      <c r="N67" s="56">
        <f t="shared" si="59"/>
        <v>31507</v>
      </c>
      <c r="O67" s="56">
        <f t="shared" si="59"/>
        <v>31507</v>
      </c>
      <c r="P67" s="56">
        <f t="shared" si="59"/>
        <v>31507</v>
      </c>
      <c r="Q67" s="56">
        <f t="shared" si="59"/>
        <v>31507</v>
      </c>
      <c r="R67" s="56">
        <f t="shared" si="59"/>
        <v>31507</v>
      </c>
      <c r="S67" s="56">
        <f t="shared" si="59"/>
        <v>31507</v>
      </c>
      <c r="T67" s="56">
        <f t="shared" si="59"/>
        <v>31507</v>
      </c>
      <c r="U67" s="56">
        <f t="shared" si="59"/>
        <v>31507</v>
      </c>
      <c r="V67" s="56">
        <f t="shared" si="59"/>
        <v>31507</v>
      </c>
      <c r="W67" s="56">
        <f t="shared" si="59"/>
        <v>31507</v>
      </c>
      <c r="X67" s="56">
        <f t="shared" si="59"/>
        <v>31507</v>
      </c>
      <c r="Y67" s="56">
        <f t="shared" si="59"/>
        <v>31507</v>
      </c>
      <c r="Z67" s="56">
        <f t="shared" si="59"/>
        <v>31507</v>
      </c>
      <c r="AA67" s="56">
        <f t="shared" si="59"/>
        <v>31507</v>
      </c>
      <c r="AB67" s="56">
        <f t="shared" si="59"/>
        <v>31507</v>
      </c>
      <c r="AC67" s="56">
        <f t="shared" si="59"/>
        <v>31507</v>
      </c>
      <c r="AD67" s="56">
        <f t="shared" si="59"/>
        <v>31507</v>
      </c>
      <c r="AE67" s="56">
        <f t="shared" si="59"/>
        <v>31507</v>
      </c>
      <c r="AF67" s="56">
        <f t="shared" si="59"/>
        <v>31507</v>
      </c>
      <c r="AG67" s="56">
        <f t="shared" si="59"/>
        <v>31507</v>
      </c>
      <c r="AH67" s="56">
        <f t="shared" si="59"/>
        <v>31507</v>
      </c>
      <c r="AI67" s="56">
        <f t="shared" si="59"/>
        <v>31507</v>
      </c>
    </row>
    <row r="68" spans="1:35" s="1" customFormat="1" ht="27" x14ac:dyDescent="0.25">
      <c r="A68" s="51"/>
      <c r="B68" s="13" t="s">
        <v>273</v>
      </c>
      <c r="C68" s="7" t="s">
        <v>13</v>
      </c>
      <c r="D68" s="444">
        <f>D28</f>
        <v>0.17</v>
      </c>
      <c r="E68" s="444">
        <f t="shared" si="57"/>
        <v>0.17</v>
      </c>
      <c r="F68" s="445">
        <f t="shared" si="57"/>
        <v>0.17</v>
      </c>
      <c r="G68" s="444">
        <f t="shared" si="57"/>
        <v>0.17</v>
      </c>
      <c r="H68" s="444">
        <f t="shared" si="57"/>
        <v>0.17</v>
      </c>
      <c r="I68" s="444">
        <f t="shared" si="57"/>
        <v>0.17</v>
      </c>
      <c r="J68" s="444">
        <f t="shared" si="57"/>
        <v>0.17</v>
      </c>
      <c r="K68" s="444">
        <f t="shared" si="57"/>
        <v>0.17</v>
      </c>
      <c r="L68" s="444">
        <f t="shared" si="57"/>
        <v>0.17</v>
      </c>
      <c r="M68" s="444">
        <f t="shared" si="57"/>
        <v>0.17</v>
      </c>
      <c r="N68" s="444">
        <f t="shared" si="57"/>
        <v>0.17</v>
      </c>
      <c r="O68" s="444">
        <f t="shared" si="57"/>
        <v>0.17</v>
      </c>
      <c r="P68" s="444">
        <f t="shared" si="57"/>
        <v>0.17</v>
      </c>
      <c r="Q68" s="444">
        <f t="shared" si="57"/>
        <v>0.17</v>
      </c>
      <c r="R68" s="444">
        <f t="shared" si="57"/>
        <v>0.17</v>
      </c>
      <c r="S68" s="444">
        <f t="shared" si="57"/>
        <v>0.17</v>
      </c>
      <c r="T68" s="444">
        <f t="shared" si="57"/>
        <v>0.17</v>
      </c>
      <c r="U68" s="444">
        <f t="shared" si="58"/>
        <v>0.17</v>
      </c>
      <c r="V68" s="444">
        <f t="shared" si="58"/>
        <v>0.17</v>
      </c>
      <c r="W68" s="444">
        <f t="shared" si="58"/>
        <v>0.17</v>
      </c>
      <c r="X68" s="444">
        <f t="shared" si="58"/>
        <v>0.17</v>
      </c>
      <c r="Y68" s="444">
        <f t="shared" si="58"/>
        <v>0.17</v>
      </c>
      <c r="Z68" s="444">
        <f t="shared" si="58"/>
        <v>0.17</v>
      </c>
      <c r="AA68" s="444">
        <f t="shared" si="58"/>
        <v>0.17</v>
      </c>
      <c r="AB68" s="444">
        <f t="shared" si="58"/>
        <v>0.17</v>
      </c>
      <c r="AC68" s="444">
        <f t="shared" si="58"/>
        <v>0.17</v>
      </c>
      <c r="AD68" s="444">
        <f t="shared" si="58"/>
        <v>0.17</v>
      </c>
      <c r="AE68" s="444">
        <f t="shared" si="58"/>
        <v>0.17</v>
      </c>
      <c r="AF68" s="444">
        <f t="shared" si="58"/>
        <v>0.17</v>
      </c>
      <c r="AG68" s="444">
        <f t="shared" si="58"/>
        <v>0.17</v>
      </c>
      <c r="AH68" s="444">
        <f t="shared" si="58"/>
        <v>0.17</v>
      </c>
      <c r="AI68" s="444">
        <f t="shared" si="58"/>
        <v>0.17</v>
      </c>
    </row>
    <row r="69" spans="1:35" s="1" customFormat="1" ht="13.5" x14ac:dyDescent="0.25">
      <c r="A69" s="51"/>
      <c r="B69" s="20" t="s">
        <v>14</v>
      </c>
      <c r="C69" s="7"/>
      <c r="D69" s="57"/>
      <c r="E69" s="57"/>
      <c r="F69" s="58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s="1" customFormat="1" ht="13.5" x14ac:dyDescent="0.25">
      <c r="A70" s="51"/>
      <c r="B70" s="60" t="str">
        <f>B30</f>
        <v>Koszty zwiazane z działaniem systemu</v>
      </c>
      <c r="C70" s="7"/>
      <c r="D70" s="57"/>
      <c r="E70" s="57"/>
      <c r="F70" s="58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s="51" customFormat="1" ht="13.5" x14ac:dyDescent="0.25">
      <c r="A71" s="51">
        <v>1</v>
      </c>
      <c r="B71" s="61" t="s">
        <v>145</v>
      </c>
      <c r="C71" s="7" t="s">
        <v>16</v>
      </c>
      <c r="D71" s="57">
        <f>D31+'Obliczenia-AF'!B20+'Obliczenia-AF'!B28</f>
        <v>21219389</v>
      </c>
      <c r="E71" s="57">
        <f>E31+'Obliczenia-AF'!C20+'Obliczenia-AF'!C28</f>
        <v>21219389</v>
      </c>
      <c r="F71" s="58">
        <f>F31+'Obliczenia-AF'!D20+'Obliczenia-AF'!D28</f>
        <v>21219389</v>
      </c>
      <c r="G71" s="57">
        <f>G31+'Obliczenia-AF'!E20+'Obliczenia-AF'!E28</f>
        <v>21219389</v>
      </c>
      <c r="H71" s="57">
        <f>H31+'Obliczenia-AF'!F20+'Obliczenia-AF'!F28</f>
        <v>21219389</v>
      </c>
      <c r="I71" s="57">
        <f>I31+'Obliczenia-AF'!G20+'Obliczenia-AF'!G28</f>
        <v>21219389</v>
      </c>
      <c r="J71" s="57">
        <f>J31+'Obliczenia-AF'!H20+'Obliczenia-AF'!H28</f>
        <v>21219389</v>
      </c>
      <c r="K71" s="57">
        <f>K31+'Obliczenia-AF'!I20+'Obliczenia-AF'!I28</f>
        <v>21219389</v>
      </c>
      <c r="L71" s="57">
        <f>L31+'Obliczenia-AF'!J20+'Obliczenia-AF'!J28</f>
        <v>26359696.875</v>
      </c>
      <c r="M71" s="57">
        <f>M31+'Obliczenia-AF'!K20+'Obliczenia-AF'!K28</f>
        <v>26359696.875</v>
      </c>
      <c r="N71" s="57">
        <f>N31+'Obliczenia-AF'!L20+'Obliczenia-AF'!L28</f>
        <v>26359696.875</v>
      </c>
      <c r="O71" s="57">
        <f>O31+'Obliczenia-AF'!M20+'Obliczenia-AF'!M28</f>
        <v>26359696.875</v>
      </c>
      <c r="P71" s="57">
        <f>P31+'Obliczenia-AF'!N20+'Obliczenia-AF'!N28</f>
        <v>26359696.875</v>
      </c>
      <c r="Q71" s="57">
        <f>Q31+'Obliczenia-AF'!O20+'Obliczenia-AF'!O28</f>
        <v>26359696.875</v>
      </c>
      <c r="R71" s="57">
        <f>R31+'Obliczenia-AF'!P20+'Obliczenia-AF'!P28</f>
        <v>26359696.875</v>
      </c>
      <c r="S71" s="57">
        <f>S31+'Obliczenia-AF'!Q20+'Obliczenia-AF'!Q28</f>
        <v>26359696.875</v>
      </c>
      <c r="T71" s="57">
        <f>T31+'Obliczenia-AF'!R20+'Obliczenia-AF'!R28</f>
        <v>26359696.875</v>
      </c>
      <c r="U71" s="57">
        <f>U31+'Obliczenia-AF'!S20+'Obliczenia-AF'!S28</f>
        <v>26359696.875</v>
      </c>
      <c r="V71" s="57">
        <f>V31+'Obliczenia-AF'!T20+'Obliczenia-AF'!T28</f>
        <v>26606734.768750001</v>
      </c>
      <c r="W71" s="57">
        <f>W31+'Obliczenia-AF'!U20+'Obliczenia-AF'!U28</f>
        <v>26606734.768750001</v>
      </c>
      <c r="X71" s="57">
        <f>X31+'Obliczenia-AF'!V20+'Obliczenia-AF'!V28</f>
        <v>26606734.768750001</v>
      </c>
      <c r="Y71" s="57">
        <f>Y31+'Obliczenia-AF'!W20+'Obliczenia-AF'!W28</f>
        <v>26606734.768750001</v>
      </c>
      <c r="Z71" s="57">
        <f>Z31+'Obliczenia-AF'!X20+'Obliczenia-AF'!X28</f>
        <v>26606734.768750001</v>
      </c>
      <c r="AA71" s="57">
        <f>AA31+'Obliczenia-AF'!Y20+'Obliczenia-AF'!Y28</f>
        <v>26853772.662500001</v>
      </c>
      <c r="AB71" s="57">
        <f>AB31+'Obliczenia-AF'!Z20+'Obliczenia-AF'!Z28</f>
        <v>26853772.662500001</v>
      </c>
      <c r="AC71" s="57">
        <f>AC31+'Obliczenia-AF'!AA20+'Obliczenia-AF'!AA28</f>
        <v>26853772.662500001</v>
      </c>
      <c r="AD71" s="57">
        <f>AD31+'Obliczenia-AF'!AB20+'Obliczenia-AF'!AB28</f>
        <v>26853772.662500001</v>
      </c>
      <c r="AE71" s="57">
        <f>AE31+'Obliczenia-AF'!AC20+'Obliczenia-AF'!AC28</f>
        <v>26853772.662500001</v>
      </c>
      <c r="AF71" s="57">
        <f>AF31+'Obliczenia-AF'!AD20+'Obliczenia-AF'!AD28</f>
        <v>27100810.556249999</v>
      </c>
      <c r="AG71" s="57">
        <f>AG31+'Obliczenia-AF'!AE20+'Obliczenia-AF'!AE28</f>
        <v>27100810.556249999</v>
      </c>
      <c r="AH71" s="57">
        <f>AH31+'Obliczenia-AF'!AF20+'Obliczenia-AF'!AF28</f>
        <v>27100810.556249999</v>
      </c>
      <c r="AI71" s="57">
        <f>AI31+'Obliczenia-AF'!AG20+'Obliczenia-AF'!AG28</f>
        <v>27100810.556249999</v>
      </c>
    </row>
    <row r="72" spans="1:35" s="51" customFormat="1" ht="13.5" x14ac:dyDescent="0.25">
      <c r="A72" s="51">
        <v>2</v>
      </c>
      <c r="B72" s="61" t="s">
        <v>295</v>
      </c>
      <c r="C72" s="7" t="s">
        <v>16</v>
      </c>
      <c r="D72" s="57">
        <f t="shared" ref="D72:E72" si="60">D32</f>
        <v>16344521</v>
      </c>
      <c r="E72" s="57">
        <f t="shared" si="60"/>
        <v>16524311</v>
      </c>
      <c r="F72" s="58">
        <f>F32+0*3500*12</f>
        <v>16887846</v>
      </c>
      <c r="G72" s="57">
        <f>G32+7*3500*12</f>
        <v>17181846</v>
      </c>
      <c r="H72" s="57">
        <f>H32+7*3500*12</f>
        <v>17181846</v>
      </c>
      <c r="I72" s="57">
        <f>I32+7*3500*12</f>
        <v>17181846</v>
      </c>
      <c r="J72" s="57">
        <f>J32+7*3500*12</f>
        <v>17181846</v>
      </c>
      <c r="K72" s="57">
        <f t="shared" ref="K72:AI72" si="61">K32+7*3500*12</f>
        <v>17181846</v>
      </c>
      <c r="L72" s="57">
        <f t="shared" si="61"/>
        <v>17181846</v>
      </c>
      <c r="M72" s="57">
        <f t="shared" si="61"/>
        <v>17181846</v>
      </c>
      <c r="N72" s="57">
        <f t="shared" si="61"/>
        <v>17181846</v>
      </c>
      <c r="O72" s="57">
        <f t="shared" si="61"/>
        <v>17181846</v>
      </c>
      <c r="P72" s="57">
        <f t="shared" si="61"/>
        <v>17181846</v>
      </c>
      <c r="Q72" s="57">
        <f t="shared" si="61"/>
        <v>17181846</v>
      </c>
      <c r="R72" s="57">
        <f t="shared" si="61"/>
        <v>17181846</v>
      </c>
      <c r="S72" s="57">
        <f t="shared" si="61"/>
        <v>17181846</v>
      </c>
      <c r="T72" s="57">
        <f t="shared" si="61"/>
        <v>17181846</v>
      </c>
      <c r="U72" s="57">
        <f t="shared" si="61"/>
        <v>17181846</v>
      </c>
      <c r="V72" s="57">
        <f t="shared" si="61"/>
        <v>17181846</v>
      </c>
      <c r="W72" s="57">
        <f t="shared" si="61"/>
        <v>17181846</v>
      </c>
      <c r="X72" s="57">
        <f t="shared" si="61"/>
        <v>17181846</v>
      </c>
      <c r="Y72" s="57">
        <f t="shared" si="61"/>
        <v>17181846</v>
      </c>
      <c r="Z72" s="57">
        <f t="shared" si="61"/>
        <v>17181846</v>
      </c>
      <c r="AA72" s="57">
        <f t="shared" si="61"/>
        <v>17181846</v>
      </c>
      <c r="AB72" s="57">
        <f t="shared" si="61"/>
        <v>17181846</v>
      </c>
      <c r="AC72" s="57">
        <f t="shared" si="61"/>
        <v>17181846</v>
      </c>
      <c r="AD72" s="57">
        <f t="shared" si="61"/>
        <v>17181846</v>
      </c>
      <c r="AE72" s="57">
        <f t="shared" si="61"/>
        <v>17181846</v>
      </c>
      <c r="AF72" s="57">
        <f t="shared" si="61"/>
        <v>17181846</v>
      </c>
      <c r="AG72" s="57">
        <f t="shared" si="61"/>
        <v>17181846</v>
      </c>
      <c r="AH72" s="57">
        <f t="shared" si="61"/>
        <v>17181846</v>
      </c>
      <c r="AI72" s="57">
        <f t="shared" si="61"/>
        <v>17181846</v>
      </c>
    </row>
    <row r="73" spans="1:35" s="51" customFormat="1" ht="13.5" x14ac:dyDescent="0.25">
      <c r="A73" s="51">
        <v>3</v>
      </c>
      <c r="B73" s="61" t="s">
        <v>296</v>
      </c>
      <c r="C73" s="7" t="s">
        <v>16</v>
      </c>
      <c r="D73" s="57">
        <f t="shared" ref="D73:E73" si="62">D33</f>
        <v>4357398</v>
      </c>
      <c r="E73" s="57">
        <f t="shared" si="62"/>
        <v>4357398</v>
      </c>
      <c r="F73" s="58">
        <f>ROUND(F33+($F$80*'Obliczenia-AF'!E140),0)</f>
        <v>4409687</v>
      </c>
      <c r="G73" s="57">
        <f>ROUND(G33+($F$80*'Obliczenia-AF'!F140),0)</f>
        <v>4409687</v>
      </c>
      <c r="H73" s="57">
        <f>ROUND(H33+($F$80*'Obliczenia-AF'!G140),0)</f>
        <v>4409687</v>
      </c>
      <c r="I73" s="57">
        <f>ROUND(I33+($F$80*'Obliczenia-AF'!H140),0)</f>
        <v>4409687</v>
      </c>
      <c r="J73" s="57">
        <f>ROUND(J33+($F$80*'Obliczenia-AF'!I140),0)</f>
        <v>4409687</v>
      </c>
      <c r="K73" s="57">
        <f>ROUND(K33+($F$80*'Obliczenia-AF'!J140),0)</f>
        <v>4409687</v>
      </c>
      <c r="L73" s="57">
        <f>ROUND(L33+($F$80*'Obliczenia-AF'!K140),0)</f>
        <v>4798348</v>
      </c>
      <c r="M73" s="57">
        <f>ROUND(M33+($F$80*'Obliczenia-AF'!L140),0)</f>
        <v>4798348</v>
      </c>
      <c r="N73" s="57">
        <f>ROUND(N33+($F$80*'Obliczenia-AF'!M140),0)</f>
        <v>4798348</v>
      </c>
      <c r="O73" s="57">
        <f>ROUND(O33+($F$80*'Obliczenia-AF'!N140),0)</f>
        <v>4798348</v>
      </c>
      <c r="P73" s="57">
        <f>ROUND(P33+($F$80*'Obliczenia-AF'!O140),0)</f>
        <v>4798348</v>
      </c>
      <c r="Q73" s="57">
        <f>ROUND(Q33+($F$80*'Obliczenia-AF'!P140),0)</f>
        <v>4798348</v>
      </c>
      <c r="R73" s="57">
        <f>ROUND(R33+($F$80*'Obliczenia-AF'!Q140),0)</f>
        <v>4798348</v>
      </c>
      <c r="S73" s="57">
        <f>ROUND(S33+($F$80*'Obliczenia-AF'!R140),0)</f>
        <v>4798348</v>
      </c>
      <c r="T73" s="57">
        <f>ROUND(T33+($F$80*'Obliczenia-AF'!S140),0)</f>
        <v>4798348</v>
      </c>
      <c r="U73" s="57">
        <f>ROUND(U33+($F$80*'Obliczenia-AF'!T140),0)</f>
        <v>4798348</v>
      </c>
      <c r="V73" s="57">
        <f>ROUND(V33+($F$80*'Obliczenia-AF'!U140),0)</f>
        <v>4798348</v>
      </c>
      <c r="W73" s="57">
        <f>ROUND(W33+($F$80*'Obliczenia-AF'!V140),0)</f>
        <v>4798348</v>
      </c>
      <c r="X73" s="57">
        <f>ROUND(X33+($F$80*'Obliczenia-AF'!W140),0)</f>
        <v>4798348</v>
      </c>
      <c r="Y73" s="57">
        <f>ROUND(Y33+($F$80*'Obliczenia-AF'!X140),0)</f>
        <v>4798348</v>
      </c>
      <c r="Z73" s="57">
        <f>ROUND(Z33+($F$80*'Obliczenia-AF'!Y140),0)</f>
        <v>4798348</v>
      </c>
      <c r="AA73" s="57">
        <f>ROUND(AA33+($F$80*'Obliczenia-AF'!Z140),0)</f>
        <v>4798348</v>
      </c>
      <c r="AB73" s="57">
        <f>ROUND(AB33+($F$80*'Obliczenia-AF'!AA140),0)</f>
        <v>4798348</v>
      </c>
      <c r="AC73" s="57">
        <f>ROUND(AC33+($F$80*'Obliczenia-AF'!AB140),0)</f>
        <v>4798348</v>
      </c>
      <c r="AD73" s="57">
        <f>ROUND(AD33+($F$80*'Obliczenia-AF'!AC140),0)</f>
        <v>4798348</v>
      </c>
      <c r="AE73" s="57">
        <f>ROUND(AE33+($F$80*'Obliczenia-AF'!AD140),0)</f>
        <v>4798348</v>
      </c>
      <c r="AF73" s="57">
        <f>ROUND(AF33+($F$80*'Obliczenia-AF'!AE140),0)</f>
        <v>4798348</v>
      </c>
      <c r="AG73" s="57">
        <f>ROUND(AG33+($F$80*'Obliczenia-AF'!AF140),0)</f>
        <v>4798348</v>
      </c>
      <c r="AH73" s="57">
        <f>ROUND(AH33+($F$80*'Obliczenia-AF'!AG140),0)</f>
        <v>4798348</v>
      </c>
      <c r="AI73" s="57">
        <f>ROUND(AI33+($F$80*'Obliczenia-AF'!AH140),0)</f>
        <v>4798348</v>
      </c>
    </row>
    <row r="74" spans="1:35" s="51" customFormat="1" ht="13.5" x14ac:dyDescent="0.25">
      <c r="A74" s="51">
        <v>4</v>
      </c>
      <c r="B74" s="62" t="s">
        <v>294</v>
      </c>
      <c r="C74" s="7" t="s">
        <v>16</v>
      </c>
      <c r="D74" s="57">
        <f t="shared" ref="D74:E74" si="63">D34</f>
        <v>6156175</v>
      </c>
      <c r="E74" s="57">
        <f t="shared" si="63"/>
        <v>6156175</v>
      </c>
      <c r="F74" s="58">
        <f>ROUND(F34+($F$81*'Obliczenia-AF'!E140),0)</f>
        <v>6230049</v>
      </c>
      <c r="G74" s="57">
        <f>ROUND(G34+($F$81*'Obliczenia-AF'!F140),0)</f>
        <v>6230049</v>
      </c>
      <c r="H74" s="57">
        <f>ROUND(H34+($F$81*'Obliczenia-AF'!G140),0)</f>
        <v>6230049</v>
      </c>
      <c r="I74" s="57">
        <f>ROUND(I34+($F$81*'Obliczenia-AF'!H140),0)</f>
        <v>6230049</v>
      </c>
      <c r="J74" s="57">
        <f>ROUND(J34+($F$81*'Obliczenia-AF'!I140),0)</f>
        <v>6230049</v>
      </c>
      <c r="K74" s="57">
        <f>ROUND(K34+($F$81*'Obliczenia-AF'!J140),0)</f>
        <v>6230049</v>
      </c>
      <c r="L74" s="57">
        <f>ROUND(L34+($F$81*'Obliczenia-AF'!K140),0)</f>
        <v>6776604</v>
      </c>
      <c r="M74" s="57">
        <f>ROUND(M34+($F$81*'Obliczenia-AF'!L140),0)</f>
        <v>6776604</v>
      </c>
      <c r="N74" s="57">
        <f>ROUND(N34+($F$81*'Obliczenia-AF'!M140),0)</f>
        <v>6776604</v>
      </c>
      <c r="O74" s="57">
        <f>ROUND(O34+($F$81*'Obliczenia-AF'!N140),0)</f>
        <v>6776604</v>
      </c>
      <c r="P74" s="57">
        <f>ROUND(P34+($F$81*'Obliczenia-AF'!O140),0)</f>
        <v>6776604</v>
      </c>
      <c r="Q74" s="57">
        <f>ROUND(Q34+($F$81*'Obliczenia-AF'!P140),0)</f>
        <v>6776604</v>
      </c>
      <c r="R74" s="57">
        <f>ROUND(R34+($F$81*'Obliczenia-AF'!Q140),0)</f>
        <v>6776604</v>
      </c>
      <c r="S74" s="57">
        <f>ROUND(S34+($F$81*'Obliczenia-AF'!R140),0)</f>
        <v>6776604</v>
      </c>
      <c r="T74" s="57">
        <f>ROUND(T34+($F$81*'Obliczenia-AF'!S140),0)</f>
        <v>6776604</v>
      </c>
      <c r="U74" s="57">
        <f>ROUND(U34+($F$81*'Obliczenia-AF'!T140),0)</f>
        <v>6776604</v>
      </c>
      <c r="V74" s="57">
        <f>ROUND(V34+($F$81*'Obliczenia-AF'!U140),0)</f>
        <v>6776604</v>
      </c>
      <c r="W74" s="57">
        <f>ROUND(W34+($F$81*'Obliczenia-AF'!V140),0)</f>
        <v>6776604</v>
      </c>
      <c r="X74" s="57">
        <f>ROUND(X34+($F$81*'Obliczenia-AF'!W140),0)</f>
        <v>6776604</v>
      </c>
      <c r="Y74" s="57">
        <f>ROUND(Y34+($F$81*'Obliczenia-AF'!X140),0)</f>
        <v>6776604</v>
      </c>
      <c r="Z74" s="57">
        <f>ROUND(Z34+($F$81*'Obliczenia-AF'!Y140),0)</f>
        <v>6776604</v>
      </c>
      <c r="AA74" s="57">
        <f>ROUND(AA34+($F$81*'Obliczenia-AF'!Z140),0)</f>
        <v>6776604</v>
      </c>
      <c r="AB74" s="57">
        <f>ROUND(AB34+($F$81*'Obliczenia-AF'!AA140),0)</f>
        <v>6776604</v>
      </c>
      <c r="AC74" s="57">
        <f>ROUND(AC34+($F$81*'Obliczenia-AF'!AB140),0)</f>
        <v>6776604</v>
      </c>
      <c r="AD74" s="57">
        <f>ROUND(AD34+($F$81*'Obliczenia-AF'!AC140),0)</f>
        <v>6776604</v>
      </c>
      <c r="AE74" s="57">
        <f>ROUND(AE34+($F$81*'Obliczenia-AF'!AD140),0)</f>
        <v>6776604</v>
      </c>
      <c r="AF74" s="57">
        <f>ROUND(AF34+($F$81*'Obliczenia-AF'!AE140),0)</f>
        <v>6776604</v>
      </c>
      <c r="AG74" s="57">
        <f>ROUND(AG34+($F$81*'Obliczenia-AF'!AF140),0)</f>
        <v>6776604</v>
      </c>
      <c r="AH74" s="57">
        <f>ROUND(AH34+($F$81*'Obliczenia-AF'!AG140),0)</f>
        <v>6776604</v>
      </c>
      <c r="AI74" s="57">
        <f>ROUND(AI34+($F$81*'Obliczenia-AF'!AH140),0)</f>
        <v>6776604</v>
      </c>
    </row>
    <row r="75" spans="1:35" s="51" customFormat="1" ht="13.5" x14ac:dyDescent="0.25">
      <c r="A75" s="51">
        <v>5</v>
      </c>
      <c r="B75" s="62" t="s">
        <v>18</v>
      </c>
      <c r="C75" s="7" t="s">
        <v>16</v>
      </c>
      <c r="D75" s="57">
        <f t="shared" ref="D75:E75" si="64">D35</f>
        <v>7888143</v>
      </c>
      <c r="E75" s="57">
        <f t="shared" si="64"/>
        <v>7888143</v>
      </c>
      <c r="F75" s="58">
        <f>ROUND(F35+2%*'Obliczenia-AF'!C4,0)</f>
        <v>7982801</v>
      </c>
      <c r="G75" s="57">
        <f>G35+2%*'Obliczenia-AF'!D4</f>
        <v>7982801</v>
      </c>
      <c r="H75" s="57">
        <f>H35+2%*'Obliczenia-AF'!E4</f>
        <v>7982801</v>
      </c>
      <c r="I75" s="57">
        <f>I35+2%*'Obliczenia-AF'!F4</f>
        <v>7982801</v>
      </c>
      <c r="J75" s="57">
        <f>J35+2%*'Obliczenia-AF'!G4</f>
        <v>7982801</v>
      </c>
      <c r="K75" s="57">
        <f>K35+2%*'Obliczenia-AF'!H4</f>
        <v>7982801</v>
      </c>
      <c r="L75" s="57">
        <f>L35+2%*'Obliczenia-AF'!I4</f>
        <v>12095047.300000001</v>
      </c>
      <c r="M75" s="57">
        <f>L75</f>
        <v>12095047.300000001</v>
      </c>
      <c r="N75" s="57">
        <f t="shared" ref="N75:AI75" si="65">M75</f>
        <v>12095047.300000001</v>
      </c>
      <c r="O75" s="57">
        <f t="shared" si="65"/>
        <v>12095047.300000001</v>
      </c>
      <c r="P75" s="57">
        <f t="shared" si="65"/>
        <v>12095047.300000001</v>
      </c>
      <c r="Q75" s="57">
        <f t="shared" si="65"/>
        <v>12095047.300000001</v>
      </c>
      <c r="R75" s="57">
        <f t="shared" si="65"/>
        <v>12095047.300000001</v>
      </c>
      <c r="S75" s="57">
        <f t="shared" si="65"/>
        <v>12095047.300000001</v>
      </c>
      <c r="T75" s="57">
        <f t="shared" si="65"/>
        <v>12095047.300000001</v>
      </c>
      <c r="U75" s="57">
        <f t="shared" si="65"/>
        <v>12095047.300000001</v>
      </c>
      <c r="V75" s="57">
        <f t="shared" si="65"/>
        <v>12095047.300000001</v>
      </c>
      <c r="W75" s="57">
        <f t="shared" si="65"/>
        <v>12095047.300000001</v>
      </c>
      <c r="X75" s="57">
        <f t="shared" si="65"/>
        <v>12095047.300000001</v>
      </c>
      <c r="Y75" s="57">
        <f t="shared" si="65"/>
        <v>12095047.300000001</v>
      </c>
      <c r="Z75" s="57">
        <f t="shared" si="65"/>
        <v>12095047.300000001</v>
      </c>
      <c r="AA75" s="57">
        <f t="shared" si="65"/>
        <v>12095047.300000001</v>
      </c>
      <c r="AB75" s="57">
        <f t="shared" si="65"/>
        <v>12095047.300000001</v>
      </c>
      <c r="AC75" s="57">
        <f t="shared" si="65"/>
        <v>12095047.300000001</v>
      </c>
      <c r="AD75" s="57">
        <f t="shared" si="65"/>
        <v>12095047.300000001</v>
      </c>
      <c r="AE75" s="57">
        <f t="shared" si="65"/>
        <v>12095047.300000001</v>
      </c>
      <c r="AF75" s="57">
        <f t="shared" si="65"/>
        <v>12095047.300000001</v>
      </c>
      <c r="AG75" s="57">
        <f t="shared" si="65"/>
        <v>12095047.300000001</v>
      </c>
      <c r="AH75" s="57">
        <f t="shared" si="65"/>
        <v>12095047.300000001</v>
      </c>
      <c r="AI75" s="57">
        <f t="shared" si="65"/>
        <v>12095047.300000001</v>
      </c>
    </row>
    <row r="76" spans="1:35" s="51" customFormat="1" ht="13.5" x14ac:dyDescent="0.25">
      <c r="A76" s="51">
        <v>6</v>
      </c>
      <c r="B76" s="62" t="s">
        <v>17</v>
      </c>
      <c r="C76" s="7" t="s">
        <v>16</v>
      </c>
      <c r="D76" s="57">
        <f t="shared" ref="D76:E76" si="66">D36</f>
        <v>2647788</v>
      </c>
      <c r="E76" s="57">
        <f t="shared" si="66"/>
        <v>2647788</v>
      </c>
      <c r="F76" s="58">
        <f>ROUND(F36+$F$83*'Obliczenia-AF'!E140,0)</f>
        <v>2679561</v>
      </c>
      <c r="G76" s="57">
        <f>ROUND(G36+$F$83*'Obliczenia-AF'!F140,0)</f>
        <v>2679561</v>
      </c>
      <c r="H76" s="57">
        <f>ROUND(H36+$F$83*'Obliczenia-AF'!G140,0)</f>
        <v>2679561</v>
      </c>
      <c r="I76" s="57">
        <f>ROUND(I36+$F$83*'Obliczenia-AF'!H140,0)</f>
        <v>2679561</v>
      </c>
      <c r="J76" s="57">
        <f>ROUND(J36+$F$83*'Obliczenia-AF'!I140,0)</f>
        <v>2679561</v>
      </c>
      <c r="K76" s="57">
        <f>ROUND(K36+$F$83*'Obliczenia-AF'!J140,0)</f>
        <v>2679561</v>
      </c>
      <c r="L76" s="57">
        <f>ROUND(L36+$F$83*'Obliczenia-AF'!K140,0)</f>
        <v>2922474</v>
      </c>
      <c r="M76" s="57">
        <f>ROUND(M36+$F$83*'Obliczenia-AF'!L140,0)</f>
        <v>2922474</v>
      </c>
      <c r="N76" s="57">
        <f>ROUND(N36+$F$83*'Obliczenia-AF'!M140,0)</f>
        <v>2922474</v>
      </c>
      <c r="O76" s="57">
        <f>ROUND(O36+$F$83*'Obliczenia-AF'!N140,0)</f>
        <v>2922474</v>
      </c>
      <c r="P76" s="57">
        <f>ROUND(P36+$F$83*'Obliczenia-AF'!O140,0)</f>
        <v>2922474</v>
      </c>
      <c r="Q76" s="57">
        <f>ROUND(Q36+$F$83*'Obliczenia-AF'!P140,0)</f>
        <v>2922474</v>
      </c>
      <c r="R76" s="57">
        <f>ROUND(R36+$F$83*'Obliczenia-AF'!Q140,0)</f>
        <v>2922474</v>
      </c>
      <c r="S76" s="57">
        <f>ROUND(S36+$F$83*'Obliczenia-AF'!R140,0)</f>
        <v>2922474</v>
      </c>
      <c r="T76" s="57">
        <f>ROUND(T36+$F$83*'Obliczenia-AF'!S140,0)</f>
        <v>2922474</v>
      </c>
      <c r="U76" s="57">
        <f>ROUND(U36+$F$83*'Obliczenia-AF'!T140,0)</f>
        <v>2922474</v>
      </c>
      <c r="V76" s="57">
        <f>ROUND(V36+$F$83*'Obliczenia-AF'!U140,0)</f>
        <v>2922474</v>
      </c>
      <c r="W76" s="57">
        <f>ROUND(W36+$F$83*'Obliczenia-AF'!V140,0)</f>
        <v>2922474</v>
      </c>
      <c r="X76" s="57">
        <f>ROUND(X36+$F$83*'Obliczenia-AF'!W140,0)</f>
        <v>2922474</v>
      </c>
      <c r="Y76" s="57">
        <f>ROUND(Y36+$F$83*'Obliczenia-AF'!X140,0)</f>
        <v>2922474</v>
      </c>
      <c r="Z76" s="57">
        <f>ROUND(Z36+$F$83*'Obliczenia-AF'!Y140,0)</f>
        <v>2922474</v>
      </c>
      <c r="AA76" s="57">
        <f>ROUND(AA36+$F$83*'Obliczenia-AF'!Z140,0)</f>
        <v>2922474</v>
      </c>
      <c r="AB76" s="57">
        <f>ROUND(AB36+$F$83*'Obliczenia-AF'!AA140,0)</f>
        <v>2922474</v>
      </c>
      <c r="AC76" s="57">
        <f>ROUND(AC36+$F$83*'Obliczenia-AF'!AB140,0)</f>
        <v>2922474</v>
      </c>
      <c r="AD76" s="57">
        <f>ROUND(AD36+$F$83*'Obliczenia-AF'!AC140,0)</f>
        <v>2922474</v>
      </c>
      <c r="AE76" s="57">
        <f>ROUND(AE36+$F$83*'Obliczenia-AF'!AD140,0)</f>
        <v>2922474</v>
      </c>
      <c r="AF76" s="57">
        <f>ROUND(AF36+$F$83*'Obliczenia-AF'!AE140,0)</f>
        <v>2922474</v>
      </c>
      <c r="AG76" s="57">
        <f>ROUND(AG36+$F$83*'Obliczenia-AF'!AF140,0)</f>
        <v>2922474</v>
      </c>
      <c r="AH76" s="57">
        <f>ROUND(AH36+$F$83*'Obliczenia-AF'!AG140,0)</f>
        <v>2922474</v>
      </c>
      <c r="AI76" s="57">
        <f>ROUND(AI36+$F$83*'Obliczenia-AF'!AH140,0)</f>
        <v>2922474</v>
      </c>
    </row>
    <row r="77" spans="1:35" s="51" customFormat="1" ht="13.5" x14ac:dyDescent="0.25">
      <c r="A77" s="51">
        <v>7</v>
      </c>
      <c r="B77" s="62" t="s">
        <v>297</v>
      </c>
      <c r="C77" s="7" t="s">
        <v>16</v>
      </c>
      <c r="D77" s="57">
        <f t="shared" ref="D77:E77" si="67">D37</f>
        <v>472197</v>
      </c>
      <c r="E77" s="57">
        <f t="shared" si="67"/>
        <v>472197</v>
      </c>
      <c r="F77" s="58">
        <f>ROUND(F37+$F$84*'Obliczenia-AF'!E140,0)</f>
        <v>477863</v>
      </c>
      <c r="G77" s="57">
        <f>ROUND(G37+$F$84*'Obliczenia-AF'!F140,0)</f>
        <v>477863</v>
      </c>
      <c r="H77" s="57">
        <f>ROUND(H37+$F$84*'Obliczenia-AF'!G140,0)</f>
        <v>477863</v>
      </c>
      <c r="I77" s="57">
        <f>ROUND(I37+$F$84*'Obliczenia-AF'!H140,0)</f>
        <v>477863</v>
      </c>
      <c r="J77" s="57">
        <f>ROUND(J37+$F$84*'Obliczenia-AF'!I140,0)</f>
        <v>477863</v>
      </c>
      <c r="K77" s="57">
        <f>ROUND(K37+$F$84*'Obliczenia-AF'!J140,0)</f>
        <v>477863</v>
      </c>
      <c r="L77" s="57">
        <f>ROUND(L37+$F$84*'Obliczenia-AF'!K140,0)</f>
        <v>514300</v>
      </c>
      <c r="M77" s="57">
        <f>ROUND(M37+$F$84*'Obliczenia-AF'!L140,0)</f>
        <v>514300</v>
      </c>
      <c r="N77" s="57">
        <f>ROUND(N37+$F$84*'Obliczenia-AF'!M140,0)</f>
        <v>514300</v>
      </c>
      <c r="O77" s="57">
        <f>ROUND(O37+$F$84*'Obliczenia-AF'!N140,0)</f>
        <v>514300</v>
      </c>
      <c r="P77" s="57">
        <f>ROUND(P37+$F$84*'Obliczenia-AF'!O140,0)</f>
        <v>514300</v>
      </c>
      <c r="Q77" s="57">
        <f>ROUND(Q37+$F$84*'Obliczenia-AF'!P140,0)</f>
        <v>514300</v>
      </c>
      <c r="R77" s="57">
        <f>ROUND(R37+$F$84*'Obliczenia-AF'!Q140,0)</f>
        <v>514300</v>
      </c>
      <c r="S77" s="57">
        <f>ROUND(S37+$F$84*'Obliczenia-AF'!R140,0)</f>
        <v>514300</v>
      </c>
      <c r="T77" s="57">
        <f>ROUND(T37+$F$84*'Obliczenia-AF'!S140,0)</f>
        <v>514300</v>
      </c>
      <c r="U77" s="57">
        <f>ROUND(U37+$F$84*'Obliczenia-AF'!T140,0)</f>
        <v>514300</v>
      </c>
      <c r="V77" s="57">
        <f>ROUND(V37+$F$84*'Obliczenia-AF'!U140,0)</f>
        <v>514300</v>
      </c>
      <c r="W77" s="57">
        <f>ROUND(W37+$F$84*'Obliczenia-AF'!V140,0)</f>
        <v>514300</v>
      </c>
      <c r="X77" s="57">
        <f>ROUND(X37+$F$84*'Obliczenia-AF'!W140,0)</f>
        <v>514300</v>
      </c>
      <c r="Y77" s="57">
        <f>ROUND(Y37+$F$84*'Obliczenia-AF'!X140,0)</f>
        <v>514300</v>
      </c>
      <c r="Z77" s="57">
        <f>ROUND(Z37+$F$84*'Obliczenia-AF'!Y140,0)</f>
        <v>514300</v>
      </c>
      <c r="AA77" s="57">
        <f>ROUND(AA37+$F$84*'Obliczenia-AF'!Z140,0)</f>
        <v>514300</v>
      </c>
      <c r="AB77" s="57">
        <f>ROUND(AB37+$F$84*'Obliczenia-AF'!AA140,0)</f>
        <v>514300</v>
      </c>
      <c r="AC77" s="57">
        <f>ROUND(AC37+$F$84*'Obliczenia-AF'!AB140,0)</f>
        <v>514300</v>
      </c>
      <c r="AD77" s="57">
        <f>ROUND(AD37+$F$84*'Obliczenia-AF'!AC140,0)</f>
        <v>514300</v>
      </c>
      <c r="AE77" s="57">
        <f>ROUND(AE37+$F$84*'Obliczenia-AF'!AD140,0)</f>
        <v>514300</v>
      </c>
      <c r="AF77" s="57">
        <f>ROUND(AF37+$F$84*'Obliczenia-AF'!AE140,0)</f>
        <v>514300</v>
      </c>
      <c r="AG77" s="57">
        <f>ROUND(AG37+$F$84*'Obliczenia-AF'!AF140,0)</f>
        <v>514300</v>
      </c>
      <c r="AH77" s="57">
        <f>ROUND(AH37+$F$84*'Obliczenia-AF'!AG140,0)</f>
        <v>514300</v>
      </c>
      <c r="AI77" s="57">
        <f>ROUND(AI37+$F$84*'Obliczenia-AF'!AH140,0)</f>
        <v>514300</v>
      </c>
    </row>
    <row r="78" spans="1:35" s="51" customFormat="1" ht="12" customHeight="1" thickBot="1" x14ac:dyDescent="0.3">
      <c r="A78" s="51">
        <v>8</v>
      </c>
      <c r="B78" s="63" t="s">
        <v>298</v>
      </c>
      <c r="C78" s="7" t="s">
        <v>16</v>
      </c>
      <c r="D78" s="57">
        <f t="shared" ref="D78:E78" si="68">D38</f>
        <v>10174388</v>
      </c>
      <c r="E78" s="57">
        <f t="shared" si="68"/>
        <v>10174388</v>
      </c>
      <c r="F78" s="58">
        <f>ROUND(F38+$F$85*'Obliczenia-AF'!E140,0)</f>
        <v>10296481</v>
      </c>
      <c r="G78" s="57">
        <f>ROUND(G38+$F$85*'Obliczenia-AF'!F140,0)</f>
        <v>10296481</v>
      </c>
      <c r="H78" s="57">
        <f>ROUND(H38+$F$85*'Obliczenia-AF'!G140,0)</f>
        <v>10296481</v>
      </c>
      <c r="I78" s="57">
        <f>ROUND(I38+$F$85*'Obliczenia-AF'!H140,0)</f>
        <v>10296481</v>
      </c>
      <c r="J78" s="57">
        <f>ROUND(J38+$F$85*'Obliczenia-AF'!I140,0)</f>
        <v>10296481</v>
      </c>
      <c r="K78" s="57">
        <f>ROUND(K38+$F$85*'Obliczenia-AF'!J140,0)</f>
        <v>10296481</v>
      </c>
      <c r="L78" s="57">
        <f>ROUND(L38+$F$85*'Obliczenia-AF'!K140,0)</f>
        <v>11207406</v>
      </c>
      <c r="M78" s="57">
        <f>ROUND(M38+$F$85*'Obliczenia-AF'!L140,0)</f>
        <v>11207406</v>
      </c>
      <c r="N78" s="57">
        <f>ROUND(N38+$F$85*'Obliczenia-AF'!M140,0)</f>
        <v>11207406</v>
      </c>
      <c r="O78" s="57">
        <f>ROUND(O38+$F$85*'Obliczenia-AF'!N140,0)</f>
        <v>11207406</v>
      </c>
      <c r="P78" s="57">
        <f>ROUND(P38+$F$85*'Obliczenia-AF'!O140,0)</f>
        <v>11207406</v>
      </c>
      <c r="Q78" s="57">
        <f>ROUND(Q38+$F$85*'Obliczenia-AF'!P140,0)</f>
        <v>11207406</v>
      </c>
      <c r="R78" s="57">
        <f>ROUND(R38+$F$85*'Obliczenia-AF'!Q140,0)</f>
        <v>11207406</v>
      </c>
      <c r="S78" s="57">
        <f>ROUND(S38+$F$85*'Obliczenia-AF'!R140,0)</f>
        <v>11207406</v>
      </c>
      <c r="T78" s="57">
        <f>ROUND(T38+$F$85*'Obliczenia-AF'!S140,0)</f>
        <v>11207406</v>
      </c>
      <c r="U78" s="57">
        <f>ROUND(U38+$F$85*'Obliczenia-AF'!T140,0)</f>
        <v>11207406</v>
      </c>
      <c r="V78" s="57">
        <f>ROUND(V38+$F$85*'Obliczenia-AF'!U140,0)</f>
        <v>11207406</v>
      </c>
      <c r="W78" s="57">
        <f>ROUND(W38+$F$85*'Obliczenia-AF'!V140,0)</f>
        <v>11207406</v>
      </c>
      <c r="X78" s="57">
        <f>ROUND(X38+$F$85*'Obliczenia-AF'!W140,0)</f>
        <v>11207406</v>
      </c>
      <c r="Y78" s="57">
        <f>ROUND(Y38+$F$85*'Obliczenia-AF'!X140,0)</f>
        <v>11207406</v>
      </c>
      <c r="Z78" s="57">
        <f>ROUND(Z38+$F$85*'Obliczenia-AF'!Y140,0)</f>
        <v>11207406</v>
      </c>
      <c r="AA78" s="57">
        <f>ROUND(AA38+$F$85*'Obliczenia-AF'!Z140,0)</f>
        <v>11207406</v>
      </c>
      <c r="AB78" s="57">
        <f>ROUND(AB38+$F$85*'Obliczenia-AF'!AA140,0)</f>
        <v>11207406</v>
      </c>
      <c r="AC78" s="57">
        <f>ROUND(AC38+$F$85*'Obliczenia-AF'!AB140,0)</f>
        <v>11207406</v>
      </c>
      <c r="AD78" s="57">
        <f>ROUND(AD38+$F$85*'Obliczenia-AF'!AC140,0)</f>
        <v>11207406</v>
      </c>
      <c r="AE78" s="57">
        <f>ROUND(AE38+$F$85*'Obliczenia-AF'!AD140,0)</f>
        <v>11207406</v>
      </c>
      <c r="AF78" s="57">
        <f>ROUND(AF38+$F$85*'Obliczenia-AF'!AE140,0)</f>
        <v>11207406</v>
      </c>
      <c r="AG78" s="57">
        <f>ROUND(AG38+$F$85*'Obliczenia-AF'!AF140,0)</f>
        <v>11207406</v>
      </c>
      <c r="AH78" s="57">
        <f>ROUND(AH38+$F$85*'Obliczenia-AF'!AG140,0)</f>
        <v>11207406</v>
      </c>
      <c r="AI78" s="57">
        <f>ROUND(AI38+$F$85*'Obliczenia-AF'!AH140,0)</f>
        <v>11207406</v>
      </c>
    </row>
    <row r="79" spans="1:35" x14ac:dyDescent="0.2">
      <c r="A79" s="69"/>
      <c r="B79" s="70"/>
      <c r="C79" s="71">
        <v>2013</v>
      </c>
      <c r="D79" s="72">
        <f>SUM(D71:D78)</f>
        <v>69259999</v>
      </c>
      <c r="E79" s="72">
        <f>SUM(E71:E78)</f>
        <v>69439789</v>
      </c>
      <c r="F79" s="72">
        <f t="shared" ref="F79:AI79" si="69">SUM(F71:F78)</f>
        <v>70183677</v>
      </c>
      <c r="G79" s="72">
        <f t="shared" si="69"/>
        <v>70477677</v>
      </c>
      <c r="H79" s="72">
        <f t="shared" si="69"/>
        <v>70477677</v>
      </c>
      <c r="I79" s="72">
        <f t="shared" si="69"/>
        <v>70477677</v>
      </c>
      <c r="J79" s="72">
        <f t="shared" si="69"/>
        <v>70477677</v>
      </c>
      <c r="K79" s="72">
        <f t="shared" si="69"/>
        <v>70477677</v>
      </c>
      <c r="L79" s="72">
        <f t="shared" si="69"/>
        <v>81855722.174999997</v>
      </c>
      <c r="M79" s="72">
        <f t="shared" si="69"/>
        <v>81855722.174999997</v>
      </c>
      <c r="N79" s="72">
        <f t="shared" si="69"/>
        <v>81855722.174999997</v>
      </c>
      <c r="O79" s="72">
        <f t="shared" si="69"/>
        <v>81855722.174999997</v>
      </c>
      <c r="P79" s="72">
        <f t="shared" si="69"/>
        <v>81855722.174999997</v>
      </c>
      <c r="Q79" s="72">
        <f t="shared" si="69"/>
        <v>81855722.174999997</v>
      </c>
      <c r="R79" s="72">
        <f t="shared" si="69"/>
        <v>81855722.174999997</v>
      </c>
      <c r="S79" s="72">
        <f t="shared" si="69"/>
        <v>81855722.174999997</v>
      </c>
      <c r="T79" s="72">
        <f t="shared" si="69"/>
        <v>81855722.174999997</v>
      </c>
      <c r="U79" s="72">
        <f t="shared" si="69"/>
        <v>81855722.174999997</v>
      </c>
      <c r="V79" s="72">
        <f t="shared" si="69"/>
        <v>82102760.068749994</v>
      </c>
      <c r="W79" s="72">
        <f t="shared" si="69"/>
        <v>82102760.068749994</v>
      </c>
      <c r="X79" s="72">
        <f t="shared" si="69"/>
        <v>82102760.068749994</v>
      </c>
      <c r="Y79" s="72">
        <f t="shared" si="69"/>
        <v>82102760.068749994</v>
      </c>
      <c r="Z79" s="72">
        <f t="shared" si="69"/>
        <v>82102760.068749994</v>
      </c>
      <c r="AA79" s="72">
        <f t="shared" si="69"/>
        <v>82349797.962500006</v>
      </c>
      <c r="AB79" s="72">
        <f t="shared" si="69"/>
        <v>82349797.962500006</v>
      </c>
      <c r="AC79" s="72">
        <f t="shared" si="69"/>
        <v>82349797.962500006</v>
      </c>
      <c r="AD79" s="72">
        <f t="shared" si="69"/>
        <v>82349797.962500006</v>
      </c>
      <c r="AE79" s="72">
        <f t="shared" si="69"/>
        <v>82349797.962500006</v>
      </c>
      <c r="AF79" s="72">
        <f t="shared" si="69"/>
        <v>82596835.856250003</v>
      </c>
      <c r="AG79" s="72">
        <f t="shared" si="69"/>
        <v>82596835.856250003</v>
      </c>
      <c r="AH79" s="72">
        <f t="shared" si="69"/>
        <v>82596835.856250003</v>
      </c>
      <c r="AI79" s="72">
        <f t="shared" si="69"/>
        <v>82596835.856250003</v>
      </c>
    </row>
    <row r="80" spans="1:35" s="69" customFormat="1" ht="13.5" x14ac:dyDescent="0.2">
      <c r="B80" s="61" t="s">
        <v>296</v>
      </c>
      <c r="C80" s="71" t="s">
        <v>362</v>
      </c>
      <c r="D80" s="72">
        <f>ROUND(D73/2087.3,-2)</f>
        <v>2100</v>
      </c>
      <c r="E80" s="72" t="s">
        <v>363</v>
      </c>
      <c r="F80" s="73">
        <f>ROUND(D73/'Obliczenia-AF'!$C$60,2)</f>
        <v>0.32</v>
      </c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:35" s="69" customFormat="1" ht="13.5" x14ac:dyDescent="0.2">
      <c r="B81" s="62" t="s">
        <v>294</v>
      </c>
      <c r="C81" s="71" t="s">
        <v>362</v>
      </c>
      <c r="D81" s="72">
        <f t="shared" ref="D81:D85" si="70">ROUND(D74/2087.3,-2)</f>
        <v>2900</v>
      </c>
      <c r="E81" s="72" t="s">
        <v>363</v>
      </c>
      <c r="F81" s="73">
        <f>ROUND(D74/'Obliczenia-AF'!$C$60,2)</f>
        <v>0.45</v>
      </c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:35" s="69" customFormat="1" ht="13.5" x14ac:dyDescent="0.2">
      <c r="B82" s="62" t="s">
        <v>18</v>
      </c>
      <c r="C82" s="71" t="s">
        <v>362</v>
      </c>
      <c r="D82" s="72">
        <f t="shared" si="70"/>
        <v>3800</v>
      </c>
      <c r="E82" s="72" t="s">
        <v>363</v>
      </c>
      <c r="F82" s="73">
        <f>ROUND(D75/'Obliczenia-AF'!$C$60,2)</f>
        <v>0.57999999999999996</v>
      </c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:35" s="69" customFormat="1" ht="13.5" x14ac:dyDescent="0.2">
      <c r="B83" s="62" t="s">
        <v>17</v>
      </c>
      <c r="C83" s="71" t="s">
        <v>362</v>
      </c>
      <c r="D83" s="72">
        <f t="shared" si="70"/>
        <v>1300</v>
      </c>
      <c r="E83" s="72" t="s">
        <v>363</v>
      </c>
      <c r="F83" s="73">
        <f>ROUND(D76/'Obliczenia-AF'!$C$60,2)</f>
        <v>0.2</v>
      </c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:35" s="69" customFormat="1" ht="13.5" x14ac:dyDescent="0.2">
      <c r="B84" s="62" t="s">
        <v>297</v>
      </c>
      <c r="C84" s="71" t="s">
        <v>362</v>
      </c>
      <c r="D84" s="72">
        <f t="shared" si="70"/>
        <v>200</v>
      </c>
      <c r="E84" s="72" t="s">
        <v>363</v>
      </c>
      <c r="F84" s="73">
        <f>ROUND(D77/'Obliczenia-AF'!$C$60,2)</f>
        <v>0.03</v>
      </c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:35" s="69" customFormat="1" ht="14.25" thickBot="1" x14ac:dyDescent="0.25">
      <c r="B85" s="63" t="s">
        <v>298</v>
      </c>
      <c r="C85" s="71" t="s">
        <v>362</v>
      </c>
      <c r="D85" s="72">
        <f t="shared" si="70"/>
        <v>4900</v>
      </c>
      <c r="E85" s="72" t="s">
        <v>363</v>
      </c>
      <c r="F85" s="73">
        <f>ROUND(D78/'Obliczenia-AF'!$C$60,2)</f>
        <v>0.75</v>
      </c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:35" s="69" customFormat="1" x14ac:dyDescent="0.2">
      <c r="B86" s="70"/>
      <c r="C86" s="71"/>
      <c r="D86" s="72"/>
      <c r="E86" s="72"/>
      <c r="F86" s="73">
        <f>SUM(F80:F85)</f>
        <v>2.33</v>
      </c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:35" x14ac:dyDescent="0.2">
      <c r="A87" s="69"/>
      <c r="B87" s="70"/>
      <c r="C87" s="71"/>
      <c r="D87" s="72"/>
      <c r="E87" s="72"/>
      <c r="F87" s="73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:35" x14ac:dyDescent="0.2">
      <c r="A88" s="69"/>
      <c r="B88" s="70"/>
      <c r="C88" s="71"/>
      <c r="D88" s="72"/>
      <c r="E88" s="72"/>
      <c r="F88" s="73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:35" ht="15.75" x14ac:dyDescent="0.2">
      <c r="B89" s="233" t="s">
        <v>282</v>
      </c>
      <c r="C89" s="71"/>
      <c r="D89" s="268"/>
      <c r="E89" s="93"/>
      <c r="F89" s="267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</row>
    <row r="90" spans="1:35" s="51" customFormat="1" ht="13.5" x14ac:dyDescent="0.25">
      <c r="B90" s="20" t="s">
        <v>20</v>
      </c>
      <c r="C90" s="52"/>
      <c r="D90" s="18">
        <f t="shared" ref="D90:AI90" si="71">D61</f>
        <v>2013</v>
      </c>
      <c r="E90" s="18">
        <f t="shared" si="71"/>
        <v>2014</v>
      </c>
      <c r="F90" s="18">
        <f t="shared" si="71"/>
        <v>2015</v>
      </c>
      <c r="G90" s="18">
        <f t="shared" si="71"/>
        <v>2016</v>
      </c>
      <c r="H90" s="18">
        <f t="shared" si="71"/>
        <v>2017</v>
      </c>
      <c r="I90" s="18">
        <f t="shared" si="71"/>
        <v>2018</v>
      </c>
      <c r="J90" s="18">
        <f t="shared" si="71"/>
        <v>2019</v>
      </c>
      <c r="K90" s="18">
        <f t="shared" si="71"/>
        <v>2020</v>
      </c>
      <c r="L90" s="18">
        <f t="shared" si="71"/>
        <v>2021</v>
      </c>
      <c r="M90" s="18">
        <f t="shared" si="71"/>
        <v>2022</v>
      </c>
      <c r="N90" s="18">
        <f t="shared" si="71"/>
        <v>2023</v>
      </c>
      <c r="O90" s="18">
        <f t="shared" si="71"/>
        <v>2024</v>
      </c>
      <c r="P90" s="18">
        <f t="shared" si="71"/>
        <v>2025</v>
      </c>
      <c r="Q90" s="18">
        <f t="shared" si="71"/>
        <v>2026</v>
      </c>
      <c r="R90" s="18">
        <f t="shared" si="71"/>
        <v>2027</v>
      </c>
      <c r="S90" s="18">
        <f t="shared" si="71"/>
        <v>2028</v>
      </c>
      <c r="T90" s="18">
        <f t="shared" si="71"/>
        <v>2029</v>
      </c>
      <c r="U90" s="18">
        <f t="shared" si="71"/>
        <v>2030</v>
      </c>
      <c r="V90" s="18">
        <f t="shared" si="71"/>
        <v>2031</v>
      </c>
      <c r="W90" s="18">
        <f t="shared" si="71"/>
        <v>2032</v>
      </c>
      <c r="X90" s="18">
        <f t="shared" si="71"/>
        <v>2033</v>
      </c>
      <c r="Y90" s="18">
        <f t="shared" si="71"/>
        <v>2034</v>
      </c>
      <c r="Z90" s="18">
        <f t="shared" si="71"/>
        <v>2035</v>
      </c>
      <c r="AA90" s="18">
        <f t="shared" si="71"/>
        <v>2036</v>
      </c>
      <c r="AB90" s="18">
        <f t="shared" si="71"/>
        <v>2037</v>
      </c>
      <c r="AC90" s="18">
        <f t="shared" si="71"/>
        <v>2038</v>
      </c>
      <c r="AD90" s="18">
        <f t="shared" si="71"/>
        <v>2039</v>
      </c>
      <c r="AE90" s="18">
        <f t="shared" si="71"/>
        <v>2040</v>
      </c>
      <c r="AF90" s="18">
        <f t="shared" si="71"/>
        <v>2041</v>
      </c>
      <c r="AG90" s="18">
        <f t="shared" si="71"/>
        <v>2042</v>
      </c>
      <c r="AH90" s="18">
        <f t="shared" si="71"/>
        <v>2043</v>
      </c>
      <c r="AI90" s="18">
        <f t="shared" si="71"/>
        <v>2044</v>
      </c>
    </row>
    <row r="91" spans="1:35" s="1" customFormat="1" ht="13.5" x14ac:dyDescent="0.25">
      <c r="A91" s="51"/>
      <c r="B91" s="13" t="s">
        <v>328</v>
      </c>
      <c r="C91" s="7" t="s">
        <v>9</v>
      </c>
      <c r="D91" s="56">
        <f t="shared" ref="D91:AI91" si="72">D42+D140</f>
        <v>54237</v>
      </c>
      <c r="E91" s="56">
        <f t="shared" si="72"/>
        <v>54237</v>
      </c>
      <c r="F91" s="56">
        <f t="shared" si="72"/>
        <v>54237</v>
      </c>
      <c r="G91" s="56">
        <f t="shared" si="72"/>
        <v>54237</v>
      </c>
      <c r="H91" s="56">
        <f t="shared" si="72"/>
        <v>54237</v>
      </c>
      <c r="I91" s="56">
        <f t="shared" si="72"/>
        <v>54237</v>
      </c>
      <c r="J91" s="56">
        <f t="shared" si="72"/>
        <v>54237</v>
      </c>
      <c r="K91" s="56">
        <f t="shared" si="72"/>
        <v>54237</v>
      </c>
      <c r="L91" s="56">
        <f t="shared" si="72"/>
        <v>65037</v>
      </c>
      <c r="M91" s="56">
        <f t="shared" si="72"/>
        <v>65037</v>
      </c>
      <c r="N91" s="56">
        <f t="shared" si="72"/>
        <v>65037</v>
      </c>
      <c r="O91" s="56">
        <f t="shared" si="72"/>
        <v>65037</v>
      </c>
      <c r="P91" s="56">
        <f t="shared" si="72"/>
        <v>65037</v>
      </c>
      <c r="Q91" s="56">
        <f t="shared" si="72"/>
        <v>65037</v>
      </c>
      <c r="R91" s="56">
        <f t="shared" si="72"/>
        <v>65037</v>
      </c>
      <c r="S91" s="56">
        <f t="shared" si="72"/>
        <v>65037</v>
      </c>
      <c r="T91" s="56">
        <f t="shared" si="72"/>
        <v>65037</v>
      </c>
      <c r="U91" s="56">
        <f t="shared" si="72"/>
        <v>65037</v>
      </c>
      <c r="V91" s="56">
        <f t="shared" si="72"/>
        <v>65037</v>
      </c>
      <c r="W91" s="56">
        <f t="shared" si="72"/>
        <v>65037</v>
      </c>
      <c r="X91" s="56">
        <f t="shared" si="72"/>
        <v>65037</v>
      </c>
      <c r="Y91" s="56">
        <f t="shared" si="72"/>
        <v>65037</v>
      </c>
      <c r="Z91" s="56">
        <f t="shared" si="72"/>
        <v>65037</v>
      </c>
      <c r="AA91" s="56">
        <f t="shared" si="72"/>
        <v>65037</v>
      </c>
      <c r="AB91" s="56">
        <f t="shared" si="72"/>
        <v>65037</v>
      </c>
      <c r="AC91" s="56">
        <f t="shared" si="72"/>
        <v>65037</v>
      </c>
      <c r="AD91" s="56">
        <f t="shared" si="72"/>
        <v>65037</v>
      </c>
      <c r="AE91" s="56">
        <f t="shared" si="72"/>
        <v>65037</v>
      </c>
      <c r="AF91" s="56">
        <f t="shared" si="72"/>
        <v>65037</v>
      </c>
      <c r="AG91" s="56">
        <f t="shared" si="72"/>
        <v>65037</v>
      </c>
      <c r="AH91" s="56">
        <f t="shared" si="72"/>
        <v>65037</v>
      </c>
      <c r="AI91" s="56">
        <f t="shared" si="72"/>
        <v>65037</v>
      </c>
    </row>
    <row r="92" spans="1:35" s="1" customFormat="1" ht="23.25" customHeight="1" x14ac:dyDescent="0.25">
      <c r="A92" s="51"/>
      <c r="B92" s="16" t="s">
        <v>272</v>
      </c>
      <c r="C92" s="7" t="s">
        <v>21</v>
      </c>
      <c r="D92" s="444">
        <f t="shared" ref="D92:AI92" si="73">D43</f>
        <v>8.5499999999999993E-2</v>
      </c>
      <c r="E92" s="444">
        <f t="shared" si="73"/>
        <v>8.5499999999999993E-2</v>
      </c>
      <c r="F92" s="445">
        <f t="shared" si="73"/>
        <v>8.5499999999999993E-2</v>
      </c>
      <c r="G92" s="444">
        <f t="shared" si="73"/>
        <v>8.5499999999999993E-2</v>
      </c>
      <c r="H92" s="444">
        <f t="shared" si="73"/>
        <v>8.5499999999999993E-2</v>
      </c>
      <c r="I92" s="444">
        <f t="shared" si="73"/>
        <v>8.5499999999999993E-2</v>
      </c>
      <c r="J92" s="444">
        <f t="shared" si="73"/>
        <v>8.5499999999999993E-2</v>
      </c>
      <c r="K92" s="444">
        <f t="shared" si="73"/>
        <v>8.5499999999999993E-2</v>
      </c>
      <c r="L92" s="444">
        <f t="shared" si="73"/>
        <v>8.5499999999999993E-2</v>
      </c>
      <c r="M92" s="444">
        <f t="shared" si="73"/>
        <v>8.5499999999999993E-2</v>
      </c>
      <c r="N92" s="444">
        <f t="shared" si="73"/>
        <v>8.5499999999999993E-2</v>
      </c>
      <c r="O92" s="444">
        <f t="shared" si="73"/>
        <v>8.5499999999999993E-2</v>
      </c>
      <c r="P92" s="444">
        <f t="shared" si="73"/>
        <v>8.5499999999999993E-2</v>
      </c>
      <c r="Q92" s="444">
        <f t="shared" si="73"/>
        <v>8.5499999999999993E-2</v>
      </c>
      <c r="R92" s="444">
        <f t="shared" si="73"/>
        <v>8.5499999999999993E-2</v>
      </c>
      <c r="S92" s="444">
        <f t="shared" si="73"/>
        <v>8.5499999999999993E-2</v>
      </c>
      <c r="T92" s="444">
        <f t="shared" si="73"/>
        <v>8.5499999999999993E-2</v>
      </c>
      <c r="U92" s="444">
        <f t="shared" si="73"/>
        <v>8.5499999999999993E-2</v>
      </c>
      <c r="V92" s="444">
        <f t="shared" si="73"/>
        <v>8.5499999999999993E-2</v>
      </c>
      <c r="W92" s="444">
        <f t="shared" si="73"/>
        <v>8.5499999999999993E-2</v>
      </c>
      <c r="X92" s="444">
        <f t="shared" si="73"/>
        <v>8.5499999999999993E-2</v>
      </c>
      <c r="Y92" s="444">
        <f t="shared" si="73"/>
        <v>8.5499999999999993E-2</v>
      </c>
      <c r="Z92" s="444">
        <f t="shared" si="73"/>
        <v>8.5499999999999993E-2</v>
      </c>
      <c r="AA92" s="444">
        <f t="shared" si="73"/>
        <v>8.5499999999999993E-2</v>
      </c>
      <c r="AB92" s="444">
        <f t="shared" si="73"/>
        <v>8.5499999999999993E-2</v>
      </c>
      <c r="AC92" s="444">
        <f t="shared" si="73"/>
        <v>8.5499999999999993E-2</v>
      </c>
      <c r="AD92" s="444">
        <f t="shared" si="73"/>
        <v>8.5499999999999993E-2</v>
      </c>
      <c r="AE92" s="444">
        <f t="shared" si="73"/>
        <v>8.5499999999999993E-2</v>
      </c>
      <c r="AF92" s="444">
        <f t="shared" si="73"/>
        <v>8.5499999999999993E-2</v>
      </c>
      <c r="AG92" s="444">
        <f t="shared" si="73"/>
        <v>8.5499999999999993E-2</v>
      </c>
      <c r="AH92" s="444">
        <f t="shared" si="73"/>
        <v>8.5499999999999993E-2</v>
      </c>
      <c r="AI92" s="444">
        <f t="shared" si="73"/>
        <v>8.5499999999999993E-2</v>
      </c>
    </row>
    <row r="93" spans="1:35" s="51" customFormat="1" ht="13.5" x14ac:dyDescent="0.25">
      <c r="B93" s="59" t="s">
        <v>264</v>
      </c>
      <c r="C93" s="7" t="s">
        <v>10</v>
      </c>
      <c r="D93" s="57">
        <f t="shared" ref="D93:AI93" si="74">D44</f>
        <v>5.38</v>
      </c>
      <c r="E93" s="57">
        <f t="shared" si="74"/>
        <v>5.38</v>
      </c>
      <c r="F93" s="58">
        <f t="shared" si="74"/>
        <v>5.38</v>
      </c>
      <c r="G93" s="57">
        <f t="shared" si="74"/>
        <v>5.38</v>
      </c>
      <c r="H93" s="57">
        <f t="shared" si="74"/>
        <v>5.38</v>
      </c>
      <c r="I93" s="57">
        <f t="shared" si="74"/>
        <v>5.38</v>
      </c>
      <c r="J93" s="57">
        <f t="shared" si="74"/>
        <v>5.38</v>
      </c>
      <c r="K93" s="57">
        <f t="shared" si="74"/>
        <v>5.38</v>
      </c>
      <c r="L93" s="57">
        <f t="shared" si="74"/>
        <v>5.38</v>
      </c>
      <c r="M93" s="57">
        <f t="shared" si="74"/>
        <v>5.38</v>
      </c>
      <c r="N93" s="57">
        <f t="shared" si="74"/>
        <v>5.38</v>
      </c>
      <c r="O93" s="57">
        <f t="shared" si="74"/>
        <v>5.38</v>
      </c>
      <c r="P93" s="57">
        <f t="shared" si="74"/>
        <v>5.38</v>
      </c>
      <c r="Q93" s="57">
        <f t="shared" si="74"/>
        <v>5.38</v>
      </c>
      <c r="R93" s="57">
        <f t="shared" si="74"/>
        <v>5.38</v>
      </c>
      <c r="S93" s="57">
        <f t="shared" si="74"/>
        <v>5.38</v>
      </c>
      <c r="T93" s="57">
        <f t="shared" si="74"/>
        <v>5.38</v>
      </c>
      <c r="U93" s="57">
        <f t="shared" si="74"/>
        <v>5.38</v>
      </c>
      <c r="V93" s="57">
        <f t="shared" si="74"/>
        <v>5.38</v>
      </c>
      <c r="W93" s="57">
        <f t="shared" si="74"/>
        <v>5.38</v>
      </c>
      <c r="X93" s="57">
        <f t="shared" si="74"/>
        <v>5.38</v>
      </c>
      <c r="Y93" s="57">
        <f t="shared" si="74"/>
        <v>5.38</v>
      </c>
      <c r="Z93" s="57">
        <f t="shared" si="74"/>
        <v>5.38</v>
      </c>
      <c r="AA93" s="57">
        <f t="shared" si="74"/>
        <v>5.38</v>
      </c>
      <c r="AB93" s="57">
        <f t="shared" si="74"/>
        <v>5.38</v>
      </c>
      <c r="AC93" s="57">
        <f t="shared" si="74"/>
        <v>5.38</v>
      </c>
      <c r="AD93" s="57">
        <f t="shared" si="74"/>
        <v>5.38</v>
      </c>
      <c r="AE93" s="57">
        <f t="shared" si="74"/>
        <v>5.38</v>
      </c>
      <c r="AF93" s="57">
        <f t="shared" si="74"/>
        <v>5.38</v>
      </c>
      <c r="AG93" s="57">
        <f t="shared" si="74"/>
        <v>5.38</v>
      </c>
      <c r="AH93" s="57">
        <f t="shared" si="74"/>
        <v>5.38</v>
      </c>
      <c r="AI93" s="57">
        <f t="shared" si="74"/>
        <v>5.38</v>
      </c>
    </row>
    <row r="94" spans="1:35" s="1" customFormat="1" ht="27" x14ac:dyDescent="0.25">
      <c r="A94" s="51"/>
      <c r="B94" s="13" t="s">
        <v>275</v>
      </c>
      <c r="C94" s="7" t="s">
        <v>12</v>
      </c>
      <c r="D94" s="56">
        <f t="shared" ref="D94:AI94" si="75">D45+D143</f>
        <v>3431</v>
      </c>
      <c r="E94" s="56">
        <f t="shared" si="75"/>
        <v>3431</v>
      </c>
      <c r="F94" s="56">
        <f t="shared" si="75"/>
        <v>3431</v>
      </c>
      <c r="G94" s="56">
        <f t="shared" si="75"/>
        <v>3431</v>
      </c>
      <c r="H94" s="56">
        <f t="shared" si="75"/>
        <v>3431</v>
      </c>
      <c r="I94" s="56">
        <f t="shared" si="75"/>
        <v>3431</v>
      </c>
      <c r="J94" s="56">
        <f t="shared" si="75"/>
        <v>3431</v>
      </c>
      <c r="K94" s="56">
        <f t="shared" si="75"/>
        <v>3431</v>
      </c>
      <c r="L94" s="56">
        <f t="shared" si="75"/>
        <v>3441</v>
      </c>
      <c r="M94" s="56">
        <f t="shared" si="75"/>
        <v>3441</v>
      </c>
      <c r="N94" s="56">
        <f t="shared" si="75"/>
        <v>3441</v>
      </c>
      <c r="O94" s="56">
        <f t="shared" si="75"/>
        <v>3441</v>
      </c>
      <c r="P94" s="56">
        <f t="shared" si="75"/>
        <v>3441</v>
      </c>
      <c r="Q94" s="56">
        <f t="shared" si="75"/>
        <v>3441</v>
      </c>
      <c r="R94" s="56">
        <f t="shared" si="75"/>
        <v>3441</v>
      </c>
      <c r="S94" s="56">
        <f t="shared" si="75"/>
        <v>3441</v>
      </c>
      <c r="T94" s="56">
        <f t="shared" si="75"/>
        <v>3441</v>
      </c>
      <c r="U94" s="56">
        <f t="shared" si="75"/>
        <v>3441</v>
      </c>
      <c r="V94" s="56">
        <f t="shared" si="75"/>
        <v>3441</v>
      </c>
      <c r="W94" s="56">
        <f t="shared" si="75"/>
        <v>3441</v>
      </c>
      <c r="X94" s="56">
        <f t="shared" si="75"/>
        <v>3441</v>
      </c>
      <c r="Y94" s="56">
        <f t="shared" si="75"/>
        <v>3441</v>
      </c>
      <c r="Z94" s="56">
        <f t="shared" si="75"/>
        <v>3441</v>
      </c>
      <c r="AA94" s="56">
        <f t="shared" si="75"/>
        <v>3441</v>
      </c>
      <c r="AB94" s="56">
        <f t="shared" si="75"/>
        <v>3441</v>
      </c>
      <c r="AC94" s="56">
        <f t="shared" si="75"/>
        <v>3441</v>
      </c>
      <c r="AD94" s="56">
        <f t="shared" si="75"/>
        <v>3441</v>
      </c>
      <c r="AE94" s="56">
        <f t="shared" si="75"/>
        <v>3441</v>
      </c>
      <c r="AF94" s="56">
        <f t="shared" si="75"/>
        <v>3441</v>
      </c>
      <c r="AG94" s="56">
        <f t="shared" si="75"/>
        <v>3441</v>
      </c>
      <c r="AH94" s="56">
        <f t="shared" si="75"/>
        <v>3441</v>
      </c>
      <c r="AI94" s="56">
        <f t="shared" si="75"/>
        <v>3441</v>
      </c>
    </row>
    <row r="95" spans="1:35" s="1" customFormat="1" ht="13.5" x14ac:dyDescent="0.25">
      <c r="A95" s="51"/>
      <c r="B95" s="13" t="s">
        <v>271</v>
      </c>
      <c r="C95" s="7" t="s">
        <v>13</v>
      </c>
      <c r="D95" s="444">
        <f t="shared" ref="D95:AI95" si="76">D46</f>
        <v>0.8</v>
      </c>
      <c r="E95" s="444">
        <f t="shared" si="76"/>
        <v>0.8</v>
      </c>
      <c r="F95" s="445">
        <f t="shared" si="76"/>
        <v>0.8</v>
      </c>
      <c r="G95" s="444">
        <f t="shared" si="76"/>
        <v>0.8</v>
      </c>
      <c r="H95" s="444">
        <f t="shared" si="76"/>
        <v>0.8</v>
      </c>
      <c r="I95" s="444">
        <f t="shared" si="76"/>
        <v>0.8</v>
      </c>
      <c r="J95" s="444">
        <f t="shared" si="76"/>
        <v>0.8</v>
      </c>
      <c r="K95" s="444">
        <f t="shared" si="76"/>
        <v>0.8</v>
      </c>
      <c r="L95" s="444">
        <f t="shared" si="76"/>
        <v>0.8</v>
      </c>
      <c r="M95" s="444">
        <f t="shared" si="76"/>
        <v>0.8</v>
      </c>
      <c r="N95" s="444">
        <f t="shared" si="76"/>
        <v>0.8</v>
      </c>
      <c r="O95" s="444">
        <f t="shared" si="76"/>
        <v>0.8</v>
      </c>
      <c r="P95" s="444">
        <f t="shared" si="76"/>
        <v>0.8</v>
      </c>
      <c r="Q95" s="444">
        <f t="shared" si="76"/>
        <v>0.8</v>
      </c>
      <c r="R95" s="444">
        <f t="shared" si="76"/>
        <v>0.8</v>
      </c>
      <c r="S95" s="444">
        <f t="shared" si="76"/>
        <v>0.8</v>
      </c>
      <c r="T95" s="444">
        <f t="shared" si="76"/>
        <v>0.8</v>
      </c>
      <c r="U95" s="444">
        <f t="shared" si="76"/>
        <v>0.8</v>
      </c>
      <c r="V95" s="444">
        <f t="shared" si="76"/>
        <v>0.8</v>
      </c>
      <c r="W95" s="444">
        <f t="shared" si="76"/>
        <v>0.8</v>
      </c>
      <c r="X95" s="444">
        <f t="shared" si="76"/>
        <v>0.8</v>
      </c>
      <c r="Y95" s="444">
        <f t="shared" si="76"/>
        <v>0.8</v>
      </c>
      <c r="Z95" s="444">
        <f t="shared" si="76"/>
        <v>0.8</v>
      </c>
      <c r="AA95" s="444">
        <f t="shared" si="76"/>
        <v>0.8</v>
      </c>
      <c r="AB95" s="444">
        <f t="shared" si="76"/>
        <v>0.8</v>
      </c>
      <c r="AC95" s="444">
        <f t="shared" si="76"/>
        <v>0.8</v>
      </c>
      <c r="AD95" s="444">
        <f t="shared" si="76"/>
        <v>0.8</v>
      </c>
      <c r="AE95" s="444">
        <f t="shared" si="76"/>
        <v>0.8</v>
      </c>
      <c r="AF95" s="444">
        <f t="shared" si="76"/>
        <v>0.8</v>
      </c>
      <c r="AG95" s="444">
        <f t="shared" si="76"/>
        <v>0.8</v>
      </c>
      <c r="AH95" s="444">
        <f t="shared" si="76"/>
        <v>0.8</v>
      </c>
      <c r="AI95" s="444">
        <f t="shared" si="76"/>
        <v>0.8</v>
      </c>
    </row>
    <row r="96" spans="1:35" s="1" customFormat="1" ht="27" x14ac:dyDescent="0.25">
      <c r="A96" s="51"/>
      <c r="B96" s="13" t="s">
        <v>276</v>
      </c>
      <c r="C96" s="7" t="s">
        <v>12</v>
      </c>
      <c r="D96" s="56">
        <f t="shared" ref="D96:AI96" si="77">D47+D145</f>
        <v>29347</v>
      </c>
      <c r="E96" s="56">
        <f t="shared" si="77"/>
        <v>29347</v>
      </c>
      <c r="F96" s="56">
        <f t="shared" si="77"/>
        <v>29347</v>
      </c>
      <c r="G96" s="56">
        <f t="shared" si="77"/>
        <v>29347</v>
      </c>
      <c r="H96" s="56">
        <f t="shared" si="77"/>
        <v>29347</v>
      </c>
      <c r="I96" s="56">
        <f t="shared" si="77"/>
        <v>29347</v>
      </c>
      <c r="J96" s="56">
        <f t="shared" si="77"/>
        <v>29347</v>
      </c>
      <c r="K96" s="56">
        <f t="shared" si="77"/>
        <v>29347</v>
      </c>
      <c r="L96" s="56">
        <f t="shared" si="77"/>
        <v>30547</v>
      </c>
      <c r="M96" s="56">
        <f t="shared" si="77"/>
        <v>30547</v>
      </c>
      <c r="N96" s="56">
        <f t="shared" si="77"/>
        <v>30547</v>
      </c>
      <c r="O96" s="56">
        <f t="shared" si="77"/>
        <v>30547</v>
      </c>
      <c r="P96" s="56">
        <f t="shared" si="77"/>
        <v>30547</v>
      </c>
      <c r="Q96" s="56">
        <f t="shared" si="77"/>
        <v>30547</v>
      </c>
      <c r="R96" s="56">
        <f t="shared" si="77"/>
        <v>30547</v>
      </c>
      <c r="S96" s="56">
        <f t="shared" si="77"/>
        <v>30547</v>
      </c>
      <c r="T96" s="56">
        <f t="shared" si="77"/>
        <v>30547</v>
      </c>
      <c r="U96" s="56">
        <f t="shared" si="77"/>
        <v>30547</v>
      </c>
      <c r="V96" s="56">
        <f t="shared" si="77"/>
        <v>30547</v>
      </c>
      <c r="W96" s="56">
        <f t="shared" si="77"/>
        <v>30547</v>
      </c>
      <c r="X96" s="56">
        <f t="shared" si="77"/>
        <v>30547</v>
      </c>
      <c r="Y96" s="56">
        <f t="shared" si="77"/>
        <v>30547</v>
      </c>
      <c r="Z96" s="56">
        <f t="shared" si="77"/>
        <v>30547</v>
      </c>
      <c r="AA96" s="56">
        <f t="shared" si="77"/>
        <v>30547</v>
      </c>
      <c r="AB96" s="56">
        <f t="shared" si="77"/>
        <v>30547</v>
      </c>
      <c r="AC96" s="56">
        <f t="shared" si="77"/>
        <v>30547</v>
      </c>
      <c r="AD96" s="56">
        <f t="shared" si="77"/>
        <v>30547</v>
      </c>
      <c r="AE96" s="56">
        <f t="shared" si="77"/>
        <v>30547</v>
      </c>
      <c r="AF96" s="56">
        <f t="shared" si="77"/>
        <v>30547</v>
      </c>
      <c r="AG96" s="56">
        <f t="shared" si="77"/>
        <v>30547</v>
      </c>
      <c r="AH96" s="56">
        <f t="shared" si="77"/>
        <v>30547</v>
      </c>
      <c r="AI96" s="56">
        <f t="shared" si="77"/>
        <v>30547</v>
      </c>
    </row>
    <row r="97" spans="1:35" s="1" customFormat="1" ht="27" x14ac:dyDescent="0.25">
      <c r="A97" s="51"/>
      <c r="B97" s="13" t="s">
        <v>273</v>
      </c>
      <c r="C97" s="7" t="s">
        <v>13</v>
      </c>
      <c r="D97" s="444">
        <f t="shared" ref="D97:AI97" si="78">D48</f>
        <v>0.17</v>
      </c>
      <c r="E97" s="444">
        <f t="shared" si="78"/>
        <v>0.17</v>
      </c>
      <c r="F97" s="445">
        <f t="shared" si="78"/>
        <v>0.17</v>
      </c>
      <c r="G97" s="444">
        <f t="shared" si="78"/>
        <v>0.17</v>
      </c>
      <c r="H97" s="444">
        <f t="shared" si="78"/>
        <v>0.17</v>
      </c>
      <c r="I97" s="444">
        <f t="shared" si="78"/>
        <v>0.17</v>
      </c>
      <c r="J97" s="444">
        <f t="shared" si="78"/>
        <v>0.17</v>
      </c>
      <c r="K97" s="444">
        <f t="shared" si="78"/>
        <v>0.17</v>
      </c>
      <c r="L97" s="444">
        <f t="shared" si="78"/>
        <v>0.17</v>
      </c>
      <c r="M97" s="444">
        <f t="shared" si="78"/>
        <v>0.17</v>
      </c>
      <c r="N97" s="444">
        <f t="shared" si="78"/>
        <v>0.17</v>
      </c>
      <c r="O97" s="444">
        <f t="shared" si="78"/>
        <v>0.17</v>
      </c>
      <c r="P97" s="444">
        <f t="shared" si="78"/>
        <v>0.17</v>
      </c>
      <c r="Q97" s="444">
        <f t="shared" si="78"/>
        <v>0.17</v>
      </c>
      <c r="R97" s="444">
        <f t="shared" si="78"/>
        <v>0.17</v>
      </c>
      <c r="S97" s="444">
        <f t="shared" si="78"/>
        <v>0.17</v>
      </c>
      <c r="T97" s="444">
        <f t="shared" si="78"/>
        <v>0.17</v>
      </c>
      <c r="U97" s="444">
        <f t="shared" si="78"/>
        <v>0.17</v>
      </c>
      <c r="V97" s="444">
        <f t="shared" si="78"/>
        <v>0.17</v>
      </c>
      <c r="W97" s="444">
        <f t="shared" si="78"/>
        <v>0.17</v>
      </c>
      <c r="X97" s="444">
        <f t="shared" si="78"/>
        <v>0.17</v>
      </c>
      <c r="Y97" s="444">
        <f t="shared" si="78"/>
        <v>0.17</v>
      </c>
      <c r="Z97" s="444">
        <f t="shared" si="78"/>
        <v>0.17</v>
      </c>
      <c r="AA97" s="444">
        <f t="shared" si="78"/>
        <v>0.17</v>
      </c>
      <c r="AB97" s="444">
        <f t="shared" si="78"/>
        <v>0.17</v>
      </c>
      <c r="AC97" s="444">
        <f t="shared" si="78"/>
        <v>0.17</v>
      </c>
      <c r="AD97" s="444">
        <f t="shared" si="78"/>
        <v>0.17</v>
      </c>
      <c r="AE97" s="444">
        <f t="shared" si="78"/>
        <v>0.17</v>
      </c>
      <c r="AF97" s="444">
        <f t="shared" si="78"/>
        <v>0.17</v>
      </c>
      <c r="AG97" s="444">
        <f t="shared" si="78"/>
        <v>0.17</v>
      </c>
      <c r="AH97" s="444">
        <f t="shared" si="78"/>
        <v>0.17</v>
      </c>
      <c r="AI97" s="444">
        <f t="shared" si="78"/>
        <v>0.17</v>
      </c>
    </row>
    <row r="98" spans="1:35" s="1" customFormat="1" ht="13.5" x14ac:dyDescent="0.25">
      <c r="A98" s="51"/>
      <c r="B98" s="20" t="s">
        <v>14</v>
      </c>
      <c r="C98" s="7"/>
      <c r="D98" s="57"/>
      <c r="E98" s="57"/>
      <c r="F98" s="58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</row>
    <row r="99" spans="1:35" s="1" customFormat="1" ht="13.5" x14ac:dyDescent="0.25">
      <c r="A99" s="51"/>
      <c r="B99" s="60"/>
      <c r="C99" s="7"/>
      <c r="D99" s="57"/>
      <c r="E99" s="57"/>
      <c r="F99" s="58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</row>
    <row r="100" spans="1:35" s="51" customFormat="1" ht="13.5" x14ac:dyDescent="0.25">
      <c r="A100" s="51">
        <v>1</v>
      </c>
      <c r="B100" s="61" t="s">
        <v>145</v>
      </c>
      <c r="C100" s="7" t="s">
        <v>16</v>
      </c>
      <c r="D100" s="57">
        <f>D51+'Obliczenia-AF'!B24+'Obliczenia-AF'!B32</f>
        <v>16347977</v>
      </c>
      <c r="E100" s="57">
        <f>E51+'Obliczenia-AF'!C24+'Obliczenia-AF'!C32</f>
        <v>16347977</v>
      </c>
      <c r="F100" s="58">
        <f>F51+'Obliczenia-AF'!D24+'Obliczenia-AF'!D32</f>
        <v>16347977</v>
      </c>
      <c r="G100" s="57">
        <f>G51+'Obliczenia-AF'!E24+'Obliczenia-AF'!E32</f>
        <v>16347977</v>
      </c>
      <c r="H100" s="57">
        <f>H51+'Obliczenia-AF'!F24+'Obliczenia-AF'!F32</f>
        <v>16347977</v>
      </c>
      <c r="I100" s="57">
        <f>I51+'Obliczenia-AF'!G24+'Obliczenia-AF'!G32</f>
        <v>16347977</v>
      </c>
      <c r="J100" s="57">
        <f>J51+'Obliczenia-AF'!H24+'Obliczenia-AF'!H32</f>
        <v>19257977</v>
      </c>
      <c r="K100" s="57">
        <f>K51+'Obliczenia-AF'!I24+'Obliczenia-AF'!I32</f>
        <v>19257977</v>
      </c>
      <c r="L100" s="57">
        <f>L51+'Obliczenia-AF'!J24+'Obliczenia-AF'!J32</f>
        <v>23759029.449999999</v>
      </c>
      <c r="M100" s="57">
        <f>M51+'Obliczenia-AF'!K24+'Obliczenia-AF'!K32</f>
        <v>23759029.449999999</v>
      </c>
      <c r="N100" s="57">
        <f>N51+'Obliczenia-AF'!L24+'Obliczenia-AF'!L32</f>
        <v>23759029.449999999</v>
      </c>
      <c r="O100" s="57">
        <f>O51+'Obliczenia-AF'!M24+'Obliczenia-AF'!M32</f>
        <v>23759029.449999999</v>
      </c>
      <c r="P100" s="57">
        <f>P51+'Obliczenia-AF'!N24+'Obliczenia-AF'!N32</f>
        <v>23759029.449999999</v>
      </c>
      <c r="Q100" s="57">
        <f>Q51+'Obliczenia-AF'!O24+'Obliczenia-AF'!O32</f>
        <v>23759029.449999999</v>
      </c>
      <c r="R100" s="57">
        <f>R51+'Obliczenia-AF'!P24+'Obliczenia-AF'!P32</f>
        <v>23759029.449999999</v>
      </c>
      <c r="S100" s="57">
        <f>S51+'Obliczenia-AF'!Q24+'Obliczenia-AF'!Q32</f>
        <v>23759029.449999999</v>
      </c>
      <c r="T100" s="57">
        <f>T51+'Obliczenia-AF'!R24+'Obliczenia-AF'!R32</f>
        <v>23759029.449999999</v>
      </c>
      <c r="U100" s="57">
        <f>U51+'Obliczenia-AF'!S24+'Obliczenia-AF'!S32</f>
        <v>23759029.449999999</v>
      </c>
      <c r="V100" s="57">
        <f>V51+'Obliczenia-AF'!T24+'Obliczenia-AF'!T32</f>
        <v>24033353.322499998</v>
      </c>
      <c r="W100" s="57">
        <f>W51+'Obliczenia-AF'!U24+'Obliczenia-AF'!U32</f>
        <v>24033353.322499998</v>
      </c>
      <c r="X100" s="57">
        <f>X51+'Obliczenia-AF'!V24+'Obliczenia-AF'!V32</f>
        <v>24033353.322499998</v>
      </c>
      <c r="Y100" s="57">
        <f>Y51+'Obliczenia-AF'!W24+'Obliczenia-AF'!W32</f>
        <v>24033353.322499998</v>
      </c>
      <c r="Z100" s="57">
        <f>Z51+'Obliczenia-AF'!X24+'Obliczenia-AF'!X32</f>
        <v>23063353.322499998</v>
      </c>
      <c r="AA100" s="57">
        <f>AA51+'Obliczenia-AF'!Y24+'Obliczenia-AF'!Y32</f>
        <v>21397677.195</v>
      </c>
      <c r="AB100" s="57">
        <f>AB51+'Obliczenia-AF'!Z24+'Obliczenia-AF'!Z32</f>
        <v>23917677.195</v>
      </c>
      <c r="AC100" s="57">
        <f>AC51+'Obliczenia-AF'!AA24+'Obliczenia-AF'!AA32</f>
        <v>23917677.195</v>
      </c>
      <c r="AD100" s="57">
        <f>AD51+'Obliczenia-AF'!AB24+'Obliczenia-AF'!AB32</f>
        <v>23917677.195</v>
      </c>
      <c r="AE100" s="57">
        <f>AE51+'Obliczenia-AF'!AC24+'Obliczenia-AF'!AC32</f>
        <v>23917677.195</v>
      </c>
      <c r="AF100" s="57">
        <f>AF51+'Obliczenia-AF'!AD24+'Obliczenia-AF'!AD32</f>
        <v>24192001.067499999</v>
      </c>
      <c r="AG100" s="57">
        <f>AG51+'Obliczenia-AF'!AE24+'Obliczenia-AF'!AE32</f>
        <v>24192001.067499999</v>
      </c>
      <c r="AH100" s="57">
        <f>AH51+'Obliczenia-AF'!AF24+'Obliczenia-AF'!AF32</f>
        <v>24192001.067499999</v>
      </c>
      <c r="AI100" s="57">
        <f>AI51+'Obliczenia-AF'!AG24+'Obliczenia-AF'!AG32</f>
        <v>24192001.067499999</v>
      </c>
    </row>
    <row r="101" spans="1:35" s="51" customFormat="1" ht="13.5" x14ac:dyDescent="0.25">
      <c r="A101" s="51">
        <v>2</v>
      </c>
      <c r="B101" s="61" t="s">
        <v>295</v>
      </c>
      <c r="C101" s="7" t="s">
        <v>16</v>
      </c>
      <c r="D101" s="57">
        <f t="shared" ref="D101:E107" si="79">D52</f>
        <v>12314195</v>
      </c>
      <c r="E101" s="57">
        <f t="shared" si="79"/>
        <v>12449651</v>
      </c>
      <c r="F101" s="58">
        <f>ROUND(F52+0*3500*12,0)</f>
        <v>12723543</v>
      </c>
      <c r="G101" s="57">
        <f>ROUND(G52+44*3500*12,0)</f>
        <v>14571543</v>
      </c>
      <c r="H101" s="57">
        <f t="shared" ref="H101" si="80">ROUND(H52+44*3500*12,0)</f>
        <v>14571543</v>
      </c>
      <c r="I101" s="57">
        <f>ROUND(I52+44*3500*12,0)</f>
        <v>14571543</v>
      </c>
      <c r="J101" s="57">
        <f>ROUND(J52+44*3500*12,0)</f>
        <v>14571543</v>
      </c>
      <c r="K101" s="57">
        <f>ROUND(K52+44*3500*12,0)</f>
        <v>14571543</v>
      </c>
      <c r="L101" s="57">
        <f>ROUND(L52+44*3500*12,0)</f>
        <v>14571543</v>
      </c>
      <c r="M101" s="57">
        <f t="shared" ref="M101:AI101" si="81">ROUND(M52+44*3500*12,0)</f>
        <v>14571543</v>
      </c>
      <c r="N101" s="57">
        <f t="shared" si="81"/>
        <v>14571543</v>
      </c>
      <c r="O101" s="57">
        <f t="shared" si="81"/>
        <v>14571543</v>
      </c>
      <c r="P101" s="57">
        <f t="shared" si="81"/>
        <v>14571543</v>
      </c>
      <c r="Q101" s="57">
        <f t="shared" si="81"/>
        <v>14571543</v>
      </c>
      <c r="R101" s="57">
        <f t="shared" si="81"/>
        <v>14571543</v>
      </c>
      <c r="S101" s="57">
        <f t="shared" si="81"/>
        <v>14571543</v>
      </c>
      <c r="T101" s="57">
        <f t="shared" si="81"/>
        <v>14571543</v>
      </c>
      <c r="U101" s="57">
        <f t="shared" si="81"/>
        <v>14571543</v>
      </c>
      <c r="V101" s="57">
        <f t="shared" si="81"/>
        <v>14571543</v>
      </c>
      <c r="W101" s="57">
        <f t="shared" si="81"/>
        <v>14571543</v>
      </c>
      <c r="X101" s="57">
        <f t="shared" si="81"/>
        <v>14571543</v>
      </c>
      <c r="Y101" s="57">
        <f t="shared" si="81"/>
        <v>14571543</v>
      </c>
      <c r="Z101" s="57">
        <f t="shared" si="81"/>
        <v>14571543</v>
      </c>
      <c r="AA101" s="57">
        <f t="shared" si="81"/>
        <v>14571543</v>
      </c>
      <c r="AB101" s="57">
        <f t="shared" si="81"/>
        <v>14571543</v>
      </c>
      <c r="AC101" s="57">
        <f t="shared" si="81"/>
        <v>14571543</v>
      </c>
      <c r="AD101" s="57">
        <f t="shared" si="81"/>
        <v>14571543</v>
      </c>
      <c r="AE101" s="57">
        <f t="shared" si="81"/>
        <v>14571543</v>
      </c>
      <c r="AF101" s="57">
        <f t="shared" si="81"/>
        <v>14571543</v>
      </c>
      <c r="AG101" s="57">
        <f t="shared" si="81"/>
        <v>14571543</v>
      </c>
      <c r="AH101" s="57">
        <f t="shared" si="81"/>
        <v>14571543</v>
      </c>
      <c r="AI101" s="57">
        <f t="shared" si="81"/>
        <v>14571543</v>
      </c>
    </row>
    <row r="102" spans="1:35" s="51" customFormat="1" ht="13.5" x14ac:dyDescent="0.25">
      <c r="A102" s="51">
        <v>3</v>
      </c>
      <c r="B102" s="61" t="s">
        <v>296</v>
      </c>
      <c r="C102" s="7" t="s">
        <v>16</v>
      </c>
      <c r="D102" s="57">
        <f t="shared" si="79"/>
        <v>2468976</v>
      </c>
      <c r="E102" s="57">
        <f t="shared" si="79"/>
        <v>2468976</v>
      </c>
      <c r="F102" s="58">
        <f>ROUND(F53+$F$109*'Obliczenia-AF'!E160,0)</f>
        <v>2498604</v>
      </c>
      <c r="G102" s="57">
        <f>ROUND(G53+$F$109*'Obliczenia-AF'!F160,0)</f>
        <v>2498604</v>
      </c>
      <c r="H102" s="57">
        <f>ROUND(H53+$F$109*'Obliczenia-AF'!G160,0)</f>
        <v>2498604</v>
      </c>
      <c r="I102" s="57">
        <f>ROUND(I53+$F$109*'Obliczenia-AF'!H160,0)</f>
        <v>2498604</v>
      </c>
      <c r="J102" s="57">
        <f>ROUND(J53+$F$109*'Obliczenia-AF'!I160,0)</f>
        <v>2498604</v>
      </c>
      <c r="K102" s="57">
        <f>ROUND(K53+$F$109*'Obliczenia-AF'!J160,0)</f>
        <v>2498604</v>
      </c>
      <c r="L102" s="57">
        <f>ROUND(L53+$F$109*'Obliczenia-AF'!K160,0)</f>
        <v>2895643</v>
      </c>
      <c r="M102" s="57">
        <f>ROUND(M53+$F$109*'Obliczenia-AF'!L160,0)</f>
        <v>2895643</v>
      </c>
      <c r="N102" s="57">
        <f>ROUND(N53+$F$109*'Obliczenia-AF'!M160,0)</f>
        <v>2895643</v>
      </c>
      <c r="O102" s="57">
        <f>ROUND(O53+$F$109*'Obliczenia-AF'!N160,0)</f>
        <v>2895643</v>
      </c>
      <c r="P102" s="57">
        <f>ROUND(P53+$F$109*'Obliczenia-AF'!O160,0)</f>
        <v>2895643</v>
      </c>
      <c r="Q102" s="57">
        <f>ROUND(Q53+$F$109*'Obliczenia-AF'!P160,0)</f>
        <v>2895643</v>
      </c>
      <c r="R102" s="57">
        <f>ROUND(R53+$F$109*'Obliczenia-AF'!Q160,0)</f>
        <v>2895643</v>
      </c>
      <c r="S102" s="57">
        <f>ROUND(S53+$F$109*'Obliczenia-AF'!R160,0)</f>
        <v>2895643</v>
      </c>
      <c r="T102" s="57">
        <f>ROUND(T53+$F$109*'Obliczenia-AF'!S160,0)</f>
        <v>2895643</v>
      </c>
      <c r="U102" s="57">
        <f>ROUND(U53+$F$109*'Obliczenia-AF'!T160,0)</f>
        <v>2895643</v>
      </c>
      <c r="V102" s="57">
        <f>ROUND(V53+$F$109*'Obliczenia-AF'!U160,0)</f>
        <v>2895643</v>
      </c>
      <c r="W102" s="57">
        <f>ROUND(W53+$F$109*'Obliczenia-AF'!V160,0)</f>
        <v>2895643</v>
      </c>
      <c r="X102" s="57">
        <f>ROUND(X53+$F$109*'Obliczenia-AF'!W160,0)</f>
        <v>2895643</v>
      </c>
      <c r="Y102" s="57">
        <f>ROUND(Y53+$F$109*'Obliczenia-AF'!X160,0)</f>
        <v>2895643</v>
      </c>
      <c r="Z102" s="57">
        <f>ROUND(Z53+$F$109*'Obliczenia-AF'!Y160,0)</f>
        <v>2895643</v>
      </c>
      <c r="AA102" s="57">
        <f>ROUND(AA53+$F$109*'Obliczenia-AF'!Z160,0)</f>
        <v>2895643</v>
      </c>
      <c r="AB102" s="57">
        <f>ROUND(AB53+$F$109*'Obliczenia-AF'!AA160,0)</f>
        <v>2895643</v>
      </c>
      <c r="AC102" s="57">
        <f>ROUND(AC53+$F$109*'Obliczenia-AF'!AB160,0)</f>
        <v>2895643</v>
      </c>
      <c r="AD102" s="57">
        <f>ROUND(AD53+$F$109*'Obliczenia-AF'!AC160,0)</f>
        <v>2895643</v>
      </c>
      <c r="AE102" s="57">
        <f>ROUND(AE53+$F$109*'Obliczenia-AF'!AD160,0)</f>
        <v>2895643</v>
      </c>
      <c r="AF102" s="57">
        <f>ROUND(AF53+$F$109*'Obliczenia-AF'!AE160,0)</f>
        <v>2895643</v>
      </c>
      <c r="AG102" s="57">
        <f>ROUND(AG53+$F$109*'Obliczenia-AF'!AF160,0)</f>
        <v>2895643</v>
      </c>
      <c r="AH102" s="57">
        <f>ROUND(AH53+$F$109*'Obliczenia-AF'!AG160,0)</f>
        <v>2895643</v>
      </c>
      <c r="AI102" s="57">
        <f>ROUND(AI53+$F$109*'Obliczenia-AF'!AH160,0)</f>
        <v>2895643</v>
      </c>
    </row>
    <row r="103" spans="1:35" s="51" customFormat="1" ht="13.5" x14ac:dyDescent="0.25">
      <c r="A103" s="51">
        <v>4</v>
      </c>
      <c r="B103" s="62" t="s">
        <v>294</v>
      </c>
      <c r="C103" s="7" t="s">
        <v>16</v>
      </c>
      <c r="D103" s="57">
        <f t="shared" si="79"/>
        <v>5052712</v>
      </c>
      <c r="E103" s="57">
        <f t="shared" si="79"/>
        <v>5052712</v>
      </c>
      <c r="F103" s="58">
        <f>ROUND(F54+$F$110*'Obliczenia-AF'!E160,0)</f>
        <v>5113345</v>
      </c>
      <c r="G103" s="57">
        <f>ROUND(G54+$F$110*'Obliczenia-AF'!F160,0)</f>
        <v>5113345</v>
      </c>
      <c r="H103" s="57">
        <f>ROUND(H54+$F$110*'Obliczenia-AF'!G160+((129+44+24+32+45+50)*3*((5.53+7.96)/2)),0)</f>
        <v>5119901</v>
      </c>
      <c r="I103" s="57">
        <f>ROUND(I54+$F$110*'Obliczenia-AF'!H160+((129+44+24+32+45+50)*3*((5.53+7.96)/2))+28000*$F$110,0)</f>
        <v>5131661</v>
      </c>
      <c r="J103" s="57">
        <f>ROUND(J54+$F$110*'Obliczenia-AF'!I160+((129+44+24+32+45+50)*3*((5.53+7.96)/2))+28000*$F$110,0)</f>
        <v>5131661</v>
      </c>
      <c r="K103" s="57">
        <f>ROUND(K54+$F$110*'Obliczenia-AF'!J160+((129+44+24+32+45+50)*3*((5.53+7.96)/2))+28000*$F$110,0)</f>
        <v>5131661</v>
      </c>
      <c r="L103" s="57">
        <f>ROUND(L54+$F$110*'Obliczenia-AF'!K160+((129+44+24+32+45+50)*3*((5.53+7.96)/2))+28000*$F$110,0)</f>
        <v>5925739</v>
      </c>
      <c r="M103" s="57">
        <f>ROUND(M54+$F$110*'Obliczenia-AF'!L160+((129+44+24+32+45+50)*3*((5.53+7.96)/2))+28000*$F$110,0)</f>
        <v>5925739</v>
      </c>
      <c r="N103" s="57">
        <f>ROUND(N54+$F$110*'Obliczenia-AF'!M160+((129+44+24+32+45+50)*3*((5.53+7.96)/2))+28000*$F$110,0)</f>
        <v>5925739</v>
      </c>
      <c r="O103" s="57">
        <f>ROUND(O54+$F$110*'Obliczenia-AF'!N160+((129+44+24+32+45+50)*3*((5.53+7.96)/2))+28000*$F$110,0)</f>
        <v>5925739</v>
      </c>
      <c r="P103" s="57">
        <f>ROUND(P54+$F$110*'Obliczenia-AF'!O160+((129+44+24+32+45+50)*3*((5.53+7.96)/2))+28000*$F$110,0)</f>
        <v>5925739</v>
      </c>
      <c r="Q103" s="57">
        <f>ROUND(Q54+$F$110*'Obliczenia-AF'!P160+((129+44+24+32+45+50)*3*((5.53+7.96)/2))+28000*$F$110,0)</f>
        <v>5925739</v>
      </c>
      <c r="R103" s="57">
        <f>ROUND(R54+$F$110*'Obliczenia-AF'!Q160+((129+44+24+32+45+50)*3*((5.53+7.96)/2))+28000*$F$110,0)</f>
        <v>5925739</v>
      </c>
      <c r="S103" s="57">
        <f>ROUND(S54+$F$110*'Obliczenia-AF'!R160+((129+44+24+32+45+50)*3*((5.53+7.96)/2))+28000*$F$110,0)</f>
        <v>5925739</v>
      </c>
      <c r="T103" s="57">
        <f>ROUND(T54+$F$110*'Obliczenia-AF'!S160+((129+44+24+32+45+50)*3*((5.53+7.96)/2))+28000*$F$110,0)</f>
        <v>5925739</v>
      </c>
      <c r="U103" s="57">
        <f>ROUND(U54+$F$110*'Obliczenia-AF'!T160+((129+44+24+32+45+50)*3*((5.53+7.96)/2))+28000*$F$110,0)</f>
        <v>5925739</v>
      </c>
      <c r="V103" s="57">
        <f>ROUND(V54+$F$110*'Obliczenia-AF'!U160+((129+44+24+32+45+50)*3*((5.53+7.96)/2))+28000*$F$110,0)</f>
        <v>5925739</v>
      </c>
      <c r="W103" s="57">
        <f>ROUND(W54+$F$110*'Obliczenia-AF'!V160+((129+44+24+32+45+50)*3*((5.53+7.96)/2))+28000*$F$110,0)</f>
        <v>5925739</v>
      </c>
      <c r="X103" s="57">
        <f>ROUND(X54+$F$110*'Obliczenia-AF'!W160+((129+44+24+32+45+50)*3*((5.53+7.96)/2))+28000*$F$110,0)</f>
        <v>5925739</v>
      </c>
      <c r="Y103" s="57">
        <f>ROUND(Y54+$F$110*'Obliczenia-AF'!X160+((129+44+24+32+45+50)*3*((5.53+7.96)/2))+28000*$F$110,0)</f>
        <v>5925739</v>
      </c>
      <c r="Z103" s="57">
        <f>ROUND(Z54+$F$110*'Obliczenia-AF'!Y160+((129+44+24+32+45+50)*3*((5.53+7.96)/2))+28000*$F$110,0)</f>
        <v>5925739</v>
      </c>
      <c r="AA103" s="57">
        <f>ROUND(AA54+$F$110*'Obliczenia-AF'!Z160+((129+44+24+32+45+50)*3*((5.53+7.96)/2))+28000*$F$110,0)</f>
        <v>5925739</v>
      </c>
      <c r="AB103" s="57">
        <f>ROUND(AB54+$F$110*'Obliczenia-AF'!AA160+((129+44+24+32+45+50)*3*((5.53+7.96)/2))+28000*$F$110,0)</f>
        <v>5925739</v>
      </c>
      <c r="AC103" s="57">
        <f>ROUND(AC54+$F$110*'Obliczenia-AF'!AB160+((129+44+24+32+45+50)*3*((5.53+7.96)/2))+28000*$F$110,0)</f>
        <v>5925739</v>
      </c>
      <c r="AD103" s="57">
        <f>ROUND(AD54+$F$110*'Obliczenia-AF'!AC160+((129+44+24+32+45+50)*3*((5.53+7.96)/2))+28000*$F$110,0)</f>
        <v>5925739</v>
      </c>
      <c r="AE103" s="57">
        <f>ROUND(AE54+$F$110*'Obliczenia-AF'!AD160+((129+44+24+32+45+50)*3*((5.53+7.96)/2))+28000*$F$110,0)</f>
        <v>5925739</v>
      </c>
      <c r="AF103" s="57">
        <f>ROUND(AF54+$F$110*'Obliczenia-AF'!AE160+((129+44+24+32+45+50)*3*((5.53+7.96)/2))+28000*$F$110,0)</f>
        <v>5925739</v>
      </c>
      <c r="AG103" s="57">
        <f>ROUND(AG54+$F$110*'Obliczenia-AF'!AF160+((129+44+24+32+45+50)*3*((5.53+7.96)/2))+28000*$F$110,0)</f>
        <v>5925739</v>
      </c>
      <c r="AH103" s="57">
        <f>ROUND(AH54+$F$110*'Obliczenia-AF'!AG160+((129+44+24+32+45+50)*3*((5.53+7.96)/2))+28000*$F$110,0)</f>
        <v>5925739</v>
      </c>
      <c r="AI103" s="57">
        <f>ROUND(AI54+$F$110*'Obliczenia-AF'!AH160+((129+44+24+32+45+50)*3*((5.53+7.96)/2))+28000*$F$110,0)</f>
        <v>5925739</v>
      </c>
    </row>
    <row r="104" spans="1:35" s="51" customFormat="1" ht="13.5" x14ac:dyDescent="0.25">
      <c r="A104" s="51">
        <v>5</v>
      </c>
      <c r="B104" s="62" t="s">
        <v>18</v>
      </c>
      <c r="C104" s="7" t="s">
        <v>16</v>
      </c>
      <c r="D104" s="57">
        <f t="shared" si="79"/>
        <v>10352363</v>
      </c>
      <c r="E104" s="57">
        <f t="shared" si="79"/>
        <v>10352363</v>
      </c>
      <c r="F104" s="58">
        <f>ROUND(F55+2%*'Obliczenia-AF'!D9,0)</f>
        <v>10476591</v>
      </c>
      <c r="G104" s="57">
        <f>ROUND(G55+2%*'Obliczenia-AF'!E9,0)</f>
        <v>10476591</v>
      </c>
      <c r="H104" s="57">
        <f>ROUND(H55+2%*'Obliczenia-AF'!F9,0)</f>
        <v>10476591</v>
      </c>
      <c r="I104" s="57">
        <f>ROUND(I55+2%*'Obliczenia-AF'!G9,0)</f>
        <v>10476591</v>
      </c>
      <c r="J104" s="57">
        <f>ROUND(J55+2%*'Obliczenia-AF'!H9,0)</f>
        <v>10476591</v>
      </c>
      <c r="K104" s="57">
        <f>ROUND(K55+2%*'Obliczenia-AF'!I9,0)</f>
        <v>14077433</v>
      </c>
      <c r="L104" s="57">
        <f>K104</f>
        <v>14077433</v>
      </c>
      <c r="M104" s="57">
        <f t="shared" ref="M104:AI104" si="82">L104</f>
        <v>14077433</v>
      </c>
      <c r="N104" s="57">
        <f t="shared" si="82"/>
        <v>14077433</v>
      </c>
      <c r="O104" s="57">
        <f t="shared" si="82"/>
        <v>14077433</v>
      </c>
      <c r="P104" s="57">
        <f t="shared" si="82"/>
        <v>14077433</v>
      </c>
      <c r="Q104" s="57">
        <f t="shared" si="82"/>
        <v>14077433</v>
      </c>
      <c r="R104" s="57">
        <f t="shared" si="82"/>
        <v>14077433</v>
      </c>
      <c r="S104" s="57">
        <f t="shared" si="82"/>
        <v>14077433</v>
      </c>
      <c r="T104" s="57">
        <f t="shared" si="82"/>
        <v>14077433</v>
      </c>
      <c r="U104" s="57">
        <f t="shared" si="82"/>
        <v>14077433</v>
      </c>
      <c r="V104" s="57">
        <f t="shared" si="82"/>
        <v>14077433</v>
      </c>
      <c r="W104" s="57">
        <f t="shared" si="82"/>
        <v>14077433</v>
      </c>
      <c r="X104" s="57">
        <f t="shared" si="82"/>
        <v>14077433</v>
      </c>
      <c r="Y104" s="57">
        <f t="shared" si="82"/>
        <v>14077433</v>
      </c>
      <c r="Z104" s="57">
        <f t="shared" si="82"/>
        <v>14077433</v>
      </c>
      <c r="AA104" s="57">
        <f t="shared" si="82"/>
        <v>14077433</v>
      </c>
      <c r="AB104" s="57">
        <f t="shared" si="82"/>
        <v>14077433</v>
      </c>
      <c r="AC104" s="57">
        <f t="shared" si="82"/>
        <v>14077433</v>
      </c>
      <c r="AD104" s="57">
        <f t="shared" si="82"/>
        <v>14077433</v>
      </c>
      <c r="AE104" s="57">
        <f t="shared" si="82"/>
        <v>14077433</v>
      </c>
      <c r="AF104" s="57">
        <f t="shared" si="82"/>
        <v>14077433</v>
      </c>
      <c r="AG104" s="57">
        <f t="shared" si="82"/>
        <v>14077433</v>
      </c>
      <c r="AH104" s="57">
        <f t="shared" si="82"/>
        <v>14077433</v>
      </c>
      <c r="AI104" s="57">
        <f t="shared" si="82"/>
        <v>14077433</v>
      </c>
    </row>
    <row r="105" spans="1:35" s="51" customFormat="1" ht="13.5" x14ac:dyDescent="0.25">
      <c r="A105" s="51">
        <v>6</v>
      </c>
      <c r="B105" s="62" t="s">
        <v>17</v>
      </c>
      <c r="C105" s="7" t="s">
        <v>16</v>
      </c>
      <c r="D105" s="57">
        <f t="shared" si="79"/>
        <v>9986346</v>
      </c>
      <c r="E105" s="57">
        <f t="shared" si="79"/>
        <v>9986346</v>
      </c>
      <c r="F105" s="58">
        <f>ROUND(F56+$F$112*'Obliczenia-AF'!E160,0)</f>
        <v>10106182</v>
      </c>
      <c r="G105" s="57">
        <f>ROUND(G56+$F$112*'Obliczenia-AF'!F160,0)</f>
        <v>10106182</v>
      </c>
      <c r="H105" s="57">
        <f>ROUND(H56+$F$112*'Obliczenia-AF'!G160,0)</f>
        <v>10106182</v>
      </c>
      <c r="I105" s="57">
        <f>ROUND(I56+$F$112*'Obliczenia-AF'!H160+28000*3.67,0)</f>
        <v>10208942</v>
      </c>
      <c r="J105" s="57">
        <f>ROUND(J56+$F$112*'Obliczenia-AF'!I160+28000*3.67,0)</f>
        <v>10208942</v>
      </c>
      <c r="K105" s="57">
        <f>ROUND(K56+$F$112*'Obliczenia-AF'!J160+28000*3.67,0)</f>
        <v>10208942</v>
      </c>
      <c r="L105" s="57">
        <f>ROUND(L56+$F$112*'Obliczenia-AF'!K160+28000*3.67,0)</f>
        <v>11797097</v>
      </c>
      <c r="M105" s="57">
        <f>ROUND(M56+$F$112*'Obliczenia-AF'!L160+28000*3.67,0)</f>
        <v>11797097</v>
      </c>
      <c r="N105" s="57">
        <f>ROUND(N56+$F$112*'Obliczenia-AF'!M160+28000*3.67,0)</f>
        <v>11797097</v>
      </c>
      <c r="O105" s="57">
        <f>ROUND(O56+$F$112*'Obliczenia-AF'!N160+28000*3.67,0)</f>
        <v>11797097</v>
      </c>
      <c r="P105" s="57">
        <f>ROUND(P56+$F$112*'Obliczenia-AF'!O160+28000*3.67,0)</f>
        <v>11797097</v>
      </c>
      <c r="Q105" s="57">
        <f>ROUND(Q56+$F$112*'Obliczenia-AF'!P160+28000*3.67,0)</f>
        <v>11797097</v>
      </c>
      <c r="R105" s="57">
        <f>ROUND(R56+$F$112*'Obliczenia-AF'!Q160+28000*3.67,0)</f>
        <v>11797097</v>
      </c>
      <c r="S105" s="57">
        <f>ROUND(S56+$F$112*'Obliczenia-AF'!R160+28000*3.67,0)</f>
        <v>11797097</v>
      </c>
      <c r="T105" s="57">
        <f>ROUND(T56+$F$112*'Obliczenia-AF'!S160+28000*3.67,0)</f>
        <v>11797097</v>
      </c>
      <c r="U105" s="57">
        <f>ROUND(U56+$F$112*'Obliczenia-AF'!T160+28000*3.67,0)</f>
        <v>11797097</v>
      </c>
      <c r="V105" s="57">
        <f>ROUND(V56+$F$112*'Obliczenia-AF'!U160+28000*3.67,0)</f>
        <v>11797097</v>
      </c>
      <c r="W105" s="57">
        <f>ROUND(W56+$F$112*'Obliczenia-AF'!V160+28000*3.67,0)</f>
        <v>11797097</v>
      </c>
      <c r="X105" s="57">
        <f>ROUND(X56+$F$112*'Obliczenia-AF'!W160+28000*3.67,0)</f>
        <v>11797097</v>
      </c>
      <c r="Y105" s="57">
        <f>ROUND(Y56+$F$112*'Obliczenia-AF'!X160+28000*3.67,0)</f>
        <v>11797097</v>
      </c>
      <c r="Z105" s="57">
        <f>ROUND(Z56+$F$112*'Obliczenia-AF'!Y160+28000*3.67,0)</f>
        <v>11797097</v>
      </c>
      <c r="AA105" s="57">
        <f>ROUND(AA56+$F$112*'Obliczenia-AF'!Z160+28000*3.67,0)</f>
        <v>11797097</v>
      </c>
      <c r="AB105" s="57">
        <f>ROUND(AB56+$F$112*'Obliczenia-AF'!AA160+28000*3.67,0)</f>
        <v>11797097</v>
      </c>
      <c r="AC105" s="57">
        <f>ROUND(AC56+$F$112*'Obliczenia-AF'!AB160+28000*3.67,0)</f>
        <v>11797097</v>
      </c>
      <c r="AD105" s="57">
        <f>ROUND(AD56+$F$112*'Obliczenia-AF'!AC160+28000*3.67,0)</f>
        <v>11797097</v>
      </c>
      <c r="AE105" s="57">
        <f>ROUND(AE56+$F$112*'Obliczenia-AF'!AD160+28000*3.67,0)</f>
        <v>11797097</v>
      </c>
      <c r="AF105" s="57">
        <f>ROUND(AF56+$F$112*'Obliczenia-AF'!AE160+28000*3.67,0)</f>
        <v>11797097</v>
      </c>
      <c r="AG105" s="57">
        <f>ROUND(AG56+$F$112*'Obliczenia-AF'!AF160+28000*3.67,0)</f>
        <v>11797097</v>
      </c>
      <c r="AH105" s="57">
        <f>ROUND(AH56+$F$112*'Obliczenia-AF'!AG160+28000*3.67,0)</f>
        <v>11797097</v>
      </c>
      <c r="AI105" s="57">
        <f>ROUND(AI56+$F$112*'Obliczenia-AF'!AH160+28000*3.67,0)</f>
        <v>11797097</v>
      </c>
    </row>
    <row r="106" spans="1:35" s="51" customFormat="1" ht="13.5" x14ac:dyDescent="0.25">
      <c r="A106" s="51">
        <v>7</v>
      </c>
      <c r="B106" s="62" t="s">
        <v>297</v>
      </c>
      <c r="C106" s="7" t="s">
        <v>16</v>
      </c>
      <c r="D106" s="57">
        <f t="shared" si="79"/>
        <v>554457</v>
      </c>
      <c r="E106" s="57">
        <f t="shared" si="79"/>
        <v>554457</v>
      </c>
      <c r="F106" s="58">
        <f>ROUND(F57+$F$113*'Obliczenia-AF'!E160,0)</f>
        <v>561110</v>
      </c>
      <c r="G106" s="57">
        <f>ROUND(G57+$F$113*'Obliczenia-AF'!F160,0)</f>
        <v>561110</v>
      </c>
      <c r="H106" s="57">
        <f>ROUND(H57+$F$113*'Obliczenia-AF'!G160,0)</f>
        <v>561110</v>
      </c>
      <c r="I106" s="57">
        <f>ROUND(I57+$F$113*'Obliczenia-AF'!H160,0)</f>
        <v>561110</v>
      </c>
      <c r="J106" s="57">
        <f>ROUND(J57+$F$113*'Obliczenia-AF'!I160,0)</f>
        <v>561110</v>
      </c>
      <c r="K106" s="57">
        <f>ROUND(K57+$F$113*'Obliczenia-AF'!J160,0)</f>
        <v>561110</v>
      </c>
      <c r="L106" s="57">
        <f>ROUND(L57+$F$113*'Obliczenia-AF'!K160,0)</f>
        <v>655643</v>
      </c>
      <c r="M106" s="57">
        <f>ROUND(M57+$F$113*'Obliczenia-AF'!L160,0)</f>
        <v>655643</v>
      </c>
      <c r="N106" s="57">
        <f>ROUND(N57+$F$113*'Obliczenia-AF'!M160,0)</f>
        <v>655643</v>
      </c>
      <c r="O106" s="57">
        <f>ROUND(O57+$F$113*'Obliczenia-AF'!N160,0)</f>
        <v>655643</v>
      </c>
      <c r="P106" s="57">
        <f>ROUND(P57+$F$113*'Obliczenia-AF'!O160,0)</f>
        <v>655643</v>
      </c>
      <c r="Q106" s="57">
        <f>ROUND(Q57+$F$113*'Obliczenia-AF'!P160,0)</f>
        <v>655643</v>
      </c>
      <c r="R106" s="57">
        <f>ROUND(R57+$F$113*'Obliczenia-AF'!Q160,0)</f>
        <v>655643</v>
      </c>
      <c r="S106" s="57">
        <f>ROUND(S57+$F$113*'Obliczenia-AF'!R160,0)</f>
        <v>655643</v>
      </c>
      <c r="T106" s="57">
        <f>ROUND(T57+$F$113*'Obliczenia-AF'!S160,0)</f>
        <v>655643</v>
      </c>
      <c r="U106" s="57">
        <f>ROUND(U57+$F$113*'Obliczenia-AF'!T160,0)</f>
        <v>655643</v>
      </c>
      <c r="V106" s="57">
        <f>ROUND(V57+$F$113*'Obliczenia-AF'!U160,0)</f>
        <v>655643</v>
      </c>
      <c r="W106" s="57">
        <f>ROUND(W57+$F$113*'Obliczenia-AF'!V160,0)</f>
        <v>655643</v>
      </c>
      <c r="X106" s="57">
        <f>ROUND(X57+$F$113*'Obliczenia-AF'!W160,0)</f>
        <v>655643</v>
      </c>
      <c r="Y106" s="57">
        <f>ROUND(Y57+$F$113*'Obliczenia-AF'!X160,0)</f>
        <v>655643</v>
      </c>
      <c r="Z106" s="57">
        <f>ROUND(Z57+$F$113*'Obliczenia-AF'!Y160,0)</f>
        <v>655643</v>
      </c>
      <c r="AA106" s="57">
        <f>ROUND(AA57+$F$113*'Obliczenia-AF'!Z160,0)</f>
        <v>655643</v>
      </c>
      <c r="AB106" s="57">
        <f>ROUND(AB57+$F$113*'Obliczenia-AF'!AA160,0)</f>
        <v>655643</v>
      </c>
      <c r="AC106" s="57">
        <f>ROUND(AC57+$F$113*'Obliczenia-AF'!AB160,0)</f>
        <v>655643</v>
      </c>
      <c r="AD106" s="57">
        <f>ROUND(AD57+$F$113*'Obliczenia-AF'!AC160,0)</f>
        <v>655643</v>
      </c>
      <c r="AE106" s="57">
        <f>ROUND(AE57+$F$113*'Obliczenia-AF'!AD160,0)</f>
        <v>655643</v>
      </c>
      <c r="AF106" s="57">
        <f>ROUND(AF57+$F$113*'Obliczenia-AF'!AE160,0)</f>
        <v>655643</v>
      </c>
      <c r="AG106" s="57">
        <f>ROUND(AG57+$F$113*'Obliczenia-AF'!AF160,0)</f>
        <v>655643</v>
      </c>
      <c r="AH106" s="57">
        <f>ROUND(AH57+$F$113*'Obliczenia-AF'!AG160,0)</f>
        <v>655643</v>
      </c>
      <c r="AI106" s="57">
        <f>ROUND(AI57+$F$113*'Obliczenia-AF'!AH160,0)</f>
        <v>655643</v>
      </c>
    </row>
    <row r="107" spans="1:35" s="51" customFormat="1" ht="12" customHeight="1" thickBot="1" x14ac:dyDescent="0.3">
      <c r="A107" s="51">
        <v>8</v>
      </c>
      <c r="B107" s="63" t="s">
        <v>298</v>
      </c>
      <c r="C107" s="7" t="s">
        <v>16</v>
      </c>
      <c r="D107" s="57">
        <f t="shared" si="79"/>
        <v>7275669</v>
      </c>
      <c r="E107" s="57">
        <f t="shared" si="79"/>
        <v>7275669</v>
      </c>
      <c r="F107" s="58">
        <f>ROUND(F58+$F$114*'Obliczenia-AF'!E160,0)</f>
        <v>7362977</v>
      </c>
      <c r="G107" s="57">
        <f>ROUND(G58+$F$114*'Obliczenia-AF'!F160,0)</f>
        <v>7362977</v>
      </c>
      <c r="H107" s="57">
        <f>ROUND(H58+$F$114*'Obliczenia-AF'!G160,0)</f>
        <v>7362977</v>
      </c>
      <c r="I107" s="57">
        <f>ROUND(I58+$F$114*'Obliczenia-AF'!H160,0)</f>
        <v>7362977</v>
      </c>
      <c r="J107" s="57">
        <f>ROUND(J58+$F$114*'Obliczenia-AF'!I160,0)</f>
        <v>7362977</v>
      </c>
      <c r="K107" s="57">
        <f>ROUND(K58+$F$114*'Obliczenia-AF'!J160,0)</f>
        <v>7362977</v>
      </c>
      <c r="L107" s="57">
        <f>ROUND(L58+$F$114*'Obliczenia-AF'!K160,0)</f>
        <v>8516280</v>
      </c>
      <c r="M107" s="57">
        <f>ROUND(M58+$F$114*'Obliczenia-AF'!L160,0)</f>
        <v>8516280</v>
      </c>
      <c r="N107" s="57">
        <f>ROUND(N58+$F$114*'Obliczenia-AF'!M160,0)</f>
        <v>8516280</v>
      </c>
      <c r="O107" s="57">
        <f>ROUND(O58+$F$114*'Obliczenia-AF'!N160,0)</f>
        <v>8516280</v>
      </c>
      <c r="P107" s="57">
        <f>ROUND(P58+$F$114*'Obliczenia-AF'!O160,0)</f>
        <v>8516280</v>
      </c>
      <c r="Q107" s="57">
        <f>ROUND(Q58+$F$114*'Obliczenia-AF'!P160,0)</f>
        <v>8516280</v>
      </c>
      <c r="R107" s="57">
        <f>ROUND(R58+$F$114*'Obliczenia-AF'!Q160,0)</f>
        <v>8516280</v>
      </c>
      <c r="S107" s="57">
        <f>ROUND(S58+$F$114*'Obliczenia-AF'!R160,0)</f>
        <v>8516280</v>
      </c>
      <c r="T107" s="57">
        <f>ROUND(T58+$F$114*'Obliczenia-AF'!S160,0)</f>
        <v>8516280</v>
      </c>
      <c r="U107" s="57">
        <f>ROUND(U58+$F$114*'Obliczenia-AF'!T160,0)</f>
        <v>8516280</v>
      </c>
      <c r="V107" s="57">
        <f>ROUND(V58+$F$114*'Obliczenia-AF'!U160,0)</f>
        <v>8516280</v>
      </c>
      <c r="W107" s="57">
        <f>ROUND(W58+$F$114*'Obliczenia-AF'!V160,0)</f>
        <v>8516280</v>
      </c>
      <c r="X107" s="57">
        <f>ROUND(X58+$F$114*'Obliczenia-AF'!W160,0)</f>
        <v>8516280</v>
      </c>
      <c r="Y107" s="57">
        <f>ROUND(Y58+$F$114*'Obliczenia-AF'!X160,0)</f>
        <v>8516280</v>
      </c>
      <c r="Z107" s="57">
        <f>ROUND(Z58+$F$114*'Obliczenia-AF'!Y160,0)</f>
        <v>8516280</v>
      </c>
      <c r="AA107" s="57">
        <f>ROUND(AA58+$F$114*'Obliczenia-AF'!Z160,0)</f>
        <v>8516280</v>
      </c>
      <c r="AB107" s="57">
        <f>ROUND(AB58+$F$114*'Obliczenia-AF'!AA160,0)</f>
        <v>8516280</v>
      </c>
      <c r="AC107" s="57">
        <f>ROUND(AC58+$F$114*'Obliczenia-AF'!AB160,0)</f>
        <v>8516280</v>
      </c>
      <c r="AD107" s="57">
        <f>ROUND(AD58+$F$114*'Obliczenia-AF'!AC160,0)</f>
        <v>8516280</v>
      </c>
      <c r="AE107" s="57">
        <f>ROUND(AE58+$F$114*'Obliczenia-AF'!AD160,0)</f>
        <v>8516280</v>
      </c>
      <c r="AF107" s="57">
        <f>ROUND(AF58+$F$114*'Obliczenia-AF'!AE160,0)</f>
        <v>8516280</v>
      </c>
      <c r="AG107" s="57">
        <f>ROUND(AG58+$F$114*'Obliczenia-AF'!AF160,0)</f>
        <v>8516280</v>
      </c>
      <c r="AH107" s="57">
        <f>ROUND(AH58+$F$114*'Obliczenia-AF'!AG160,0)</f>
        <v>8516280</v>
      </c>
      <c r="AI107" s="57">
        <f>ROUND(AI58+$F$114*'Obliczenia-AF'!AH160,0)</f>
        <v>8516280</v>
      </c>
    </row>
    <row r="108" spans="1:35" x14ac:dyDescent="0.2">
      <c r="A108" s="69"/>
      <c r="B108" s="70"/>
      <c r="C108" s="71">
        <v>2013</v>
      </c>
      <c r="D108" s="72">
        <f>SUM(D100:D107)</f>
        <v>64352695</v>
      </c>
      <c r="E108" s="72">
        <f>SUM(E100:E107)</f>
        <v>64488151</v>
      </c>
      <c r="F108" s="73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:35" s="69" customFormat="1" ht="13.5" x14ac:dyDescent="0.2">
      <c r="B109" s="61" t="s">
        <v>296</v>
      </c>
      <c r="C109" s="71" t="s">
        <v>362</v>
      </c>
      <c r="D109" s="72">
        <f>ROUND(D102/2595,-2)</f>
        <v>1000</v>
      </c>
      <c r="E109" s="72" t="s">
        <v>363</v>
      </c>
      <c r="F109" s="73">
        <f>ROUND(D102/'Obliczenia-AF'!$C$80,2)</f>
        <v>0.21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:35" s="69" customFormat="1" ht="13.5" x14ac:dyDescent="0.2">
      <c r="B110" s="62" t="s">
        <v>294</v>
      </c>
      <c r="C110" s="71" t="s">
        <v>362</v>
      </c>
      <c r="D110" s="72">
        <f t="shared" ref="D110:D114" si="83">ROUND(D103/2595,-2)</f>
        <v>1900</v>
      </c>
      <c r="E110" s="72" t="s">
        <v>363</v>
      </c>
      <c r="F110" s="73">
        <f>ROUND(D103/'Obliczenia-AF'!$C$80,2)</f>
        <v>0.42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:35" s="69" customFormat="1" ht="13.5" x14ac:dyDescent="0.2">
      <c r="B111" s="62" t="s">
        <v>18</v>
      </c>
      <c r="C111" s="71" t="s">
        <v>362</v>
      </c>
      <c r="D111" s="72">
        <f t="shared" si="83"/>
        <v>4000</v>
      </c>
      <c r="E111" s="72" t="s">
        <v>363</v>
      </c>
      <c r="F111" s="73">
        <f>ROUND(D104/'Obliczenia-AF'!$C$80,2)</f>
        <v>0.87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:35" s="69" customFormat="1" ht="13.5" x14ac:dyDescent="0.2">
      <c r="B112" s="62" t="s">
        <v>17</v>
      </c>
      <c r="C112" s="71" t="s">
        <v>362</v>
      </c>
      <c r="D112" s="72">
        <f t="shared" si="83"/>
        <v>3800</v>
      </c>
      <c r="E112" s="72" t="s">
        <v>363</v>
      </c>
      <c r="F112" s="73">
        <f>ROUND(D105/'Obliczenia-AF'!$C$80,2)</f>
        <v>0.84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:35" s="69" customFormat="1" ht="13.5" x14ac:dyDescent="0.2">
      <c r="B113" s="62" t="s">
        <v>297</v>
      </c>
      <c r="C113" s="71" t="s">
        <v>362</v>
      </c>
      <c r="D113" s="72">
        <f t="shared" si="83"/>
        <v>200</v>
      </c>
      <c r="E113" s="72" t="s">
        <v>363</v>
      </c>
      <c r="F113" s="73">
        <f>ROUND(D106/'Obliczenia-AF'!$C$80,2)</f>
        <v>0.05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:35" s="69" customFormat="1" ht="14.25" thickBot="1" x14ac:dyDescent="0.25">
      <c r="B114" s="63" t="s">
        <v>298</v>
      </c>
      <c r="C114" s="71" t="s">
        <v>362</v>
      </c>
      <c r="D114" s="72">
        <f t="shared" si="83"/>
        <v>2800</v>
      </c>
      <c r="E114" s="72" t="s">
        <v>363</v>
      </c>
      <c r="F114" s="73">
        <f>ROUND(D107/'Obliczenia-AF'!$C$80,2)</f>
        <v>0.61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:35" s="69" customFormat="1" x14ac:dyDescent="0.2">
      <c r="B115" s="70"/>
      <c r="C115" s="71"/>
      <c r="D115" s="72"/>
      <c r="E115" s="72"/>
      <c r="F115" s="73">
        <f>SUM(F109:F114)</f>
        <v>2.9999999999999996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:35" x14ac:dyDescent="0.2">
      <c r="A116" s="69"/>
      <c r="B116" s="70"/>
      <c r="C116" s="71"/>
      <c r="D116" s="72"/>
      <c r="E116" s="72"/>
      <c r="F116" s="73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:35" x14ac:dyDescent="0.2">
      <c r="A117" s="69"/>
      <c r="B117" s="70"/>
      <c r="C117" s="71"/>
      <c r="D117" s="72"/>
      <c r="E117" s="72"/>
      <c r="F117" s="73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:35" ht="15.75" x14ac:dyDescent="0.2">
      <c r="B118" s="233" t="s">
        <v>329</v>
      </c>
      <c r="C118" s="71"/>
      <c r="D118" s="268"/>
      <c r="E118" s="93"/>
      <c r="F118" s="267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</row>
    <row r="119" spans="1:35" s="51" customFormat="1" ht="13.5" x14ac:dyDescent="0.25">
      <c r="B119" s="20" t="s">
        <v>325</v>
      </c>
      <c r="C119" s="52"/>
      <c r="D119" s="18">
        <f t="shared" ref="D119:AI119" si="84">D61</f>
        <v>2013</v>
      </c>
      <c r="E119" s="18">
        <f t="shared" si="84"/>
        <v>2014</v>
      </c>
      <c r="F119" s="18">
        <f t="shared" si="84"/>
        <v>2015</v>
      </c>
      <c r="G119" s="18">
        <f t="shared" si="84"/>
        <v>2016</v>
      </c>
      <c r="H119" s="18">
        <f t="shared" si="84"/>
        <v>2017</v>
      </c>
      <c r="I119" s="18">
        <f t="shared" si="84"/>
        <v>2018</v>
      </c>
      <c r="J119" s="18">
        <f t="shared" si="84"/>
        <v>2019</v>
      </c>
      <c r="K119" s="18">
        <f t="shared" si="84"/>
        <v>2020</v>
      </c>
      <c r="L119" s="18">
        <f t="shared" si="84"/>
        <v>2021</v>
      </c>
      <c r="M119" s="18">
        <f t="shared" si="84"/>
        <v>2022</v>
      </c>
      <c r="N119" s="18">
        <f t="shared" si="84"/>
        <v>2023</v>
      </c>
      <c r="O119" s="18">
        <f t="shared" si="84"/>
        <v>2024</v>
      </c>
      <c r="P119" s="18">
        <f t="shared" si="84"/>
        <v>2025</v>
      </c>
      <c r="Q119" s="18">
        <f t="shared" si="84"/>
        <v>2026</v>
      </c>
      <c r="R119" s="18">
        <f t="shared" si="84"/>
        <v>2027</v>
      </c>
      <c r="S119" s="18">
        <f t="shared" si="84"/>
        <v>2028</v>
      </c>
      <c r="T119" s="18">
        <f t="shared" si="84"/>
        <v>2029</v>
      </c>
      <c r="U119" s="18">
        <f t="shared" si="84"/>
        <v>2030</v>
      </c>
      <c r="V119" s="18">
        <f t="shared" si="84"/>
        <v>2031</v>
      </c>
      <c r="W119" s="18">
        <f t="shared" si="84"/>
        <v>2032</v>
      </c>
      <c r="X119" s="18">
        <f t="shared" si="84"/>
        <v>2033</v>
      </c>
      <c r="Y119" s="18">
        <f t="shared" si="84"/>
        <v>2034</v>
      </c>
      <c r="Z119" s="18">
        <f t="shared" si="84"/>
        <v>2035</v>
      </c>
      <c r="AA119" s="18">
        <f t="shared" si="84"/>
        <v>2036</v>
      </c>
      <c r="AB119" s="18">
        <f t="shared" si="84"/>
        <v>2037</v>
      </c>
      <c r="AC119" s="18">
        <f t="shared" si="84"/>
        <v>2038</v>
      </c>
      <c r="AD119" s="18">
        <f t="shared" si="84"/>
        <v>2039</v>
      </c>
      <c r="AE119" s="18">
        <f t="shared" si="84"/>
        <v>2040</v>
      </c>
      <c r="AF119" s="18">
        <f t="shared" si="84"/>
        <v>2041</v>
      </c>
      <c r="AG119" s="18">
        <f t="shared" si="84"/>
        <v>2042</v>
      </c>
      <c r="AH119" s="18">
        <f t="shared" si="84"/>
        <v>2043</v>
      </c>
      <c r="AI119" s="18">
        <f t="shared" si="84"/>
        <v>2044</v>
      </c>
    </row>
    <row r="120" spans="1:35" s="1" customFormat="1" ht="13.5" x14ac:dyDescent="0.25">
      <c r="A120" s="51"/>
      <c r="B120" s="13" t="s">
        <v>327</v>
      </c>
      <c r="C120" s="7" t="s">
        <v>9</v>
      </c>
      <c r="D120" s="56">
        <v>0</v>
      </c>
      <c r="E120" s="56">
        <f t="shared" ref="E120:K120" si="85">D120</f>
        <v>0</v>
      </c>
      <c r="F120" s="56">
        <f t="shared" si="85"/>
        <v>0</v>
      </c>
      <c r="G120" s="56">
        <f t="shared" si="85"/>
        <v>0</v>
      </c>
      <c r="H120" s="56">
        <f t="shared" si="85"/>
        <v>0</v>
      </c>
      <c r="I120" s="56">
        <f t="shared" si="85"/>
        <v>0</v>
      </c>
      <c r="J120" s="56">
        <f t="shared" si="85"/>
        <v>0</v>
      </c>
      <c r="K120" s="56">
        <f t="shared" si="85"/>
        <v>0</v>
      </c>
      <c r="L120" s="56">
        <f>K120+6600</f>
        <v>6600</v>
      </c>
      <c r="M120" s="56">
        <f t="shared" ref="M120:AI120" si="86">L120</f>
        <v>6600</v>
      </c>
      <c r="N120" s="56">
        <f t="shared" si="86"/>
        <v>6600</v>
      </c>
      <c r="O120" s="56">
        <f t="shared" si="86"/>
        <v>6600</v>
      </c>
      <c r="P120" s="56">
        <f t="shared" si="86"/>
        <v>6600</v>
      </c>
      <c r="Q120" s="56">
        <f t="shared" si="86"/>
        <v>6600</v>
      </c>
      <c r="R120" s="56">
        <f t="shared" si="86"/>
        <v>6600</v>
      </c>
      <c r="S120" s="56">
        <f t="shared" si="86"/>
        <v>6600</v>
      </c>
      <c r="T120" s="56">
        <f t="shared" si="86"/>
        <v>6600</v>
      </c>
      <c r="U120" s="56">
        <f t="shared" si="86"/>
        <v>6600</v>
      </c>
      <c r="V120" s="56">
        <f t="shared" si="86"/>
        <v>6600</v>
      </c>
      <c r="W120" s="56">
        <f t="shared" si="86"/>
        <v>6600</v>
      </c>
      <c r="X120" s="56">
        <f t="shared" si="86"/>
        <v>6600</v>
      </c>
      <c r="Y120" s="56">
        <f t="shared" si="86"/>
        <v>6600</v>
      </c>
      <c r="Z120" s="56">
        <f t="shared" si="86"/>
        <v>6600</v>
      </c>
      <c r="AA120" s="56">
        <f t="shared" si="86"/>
        <v>6600</v>
      </c>
      <c r="AB120" s="56">
        <f t="shared" si="86"/>
        <v>6600</v>
      </c>
      <c r="AC120" s="56">
        <f t="shared" si="86"/>
        <v>6600</v>
      </c>
      <c r="AD120" s="56">
        <f t="shared" si="86"/>
        <v>6600</v>
      </c>
      <c r="AE120" s="56">
        <f t="shared" si="86"/>
        <v>6600</v>
      </c>
      <c r="AF120" s="56">
        <f t="shared" si="86"/>
        <v>6600</v>
      </c>
      <c r="AG120" s="56">
        <f t="shared" si="86"/>
        <v>6600</v>
      </c>
      <c r="AH120" s="56">
        <f t="shared" si="86"/>
        <v>6600</v>
      </c>
      <c r="AI120" s="56">
        <f t="shared" si="86"/>
        <v>6600</v>
      </c>
    </row>
    <row r="121" spans="1:35" s="1" customFormat="1" ht="23.25" customHeight="1" x14ac:dyDescent="0.25">
      <c r="A121" s="51"/>
      <c r="B121" s="16" t="s">
        <v>274</v>
      </c>
      <c r="C121" s="7" t="s">
        <v>21</v>
      </c>
      <c r="D121" s="444">
        <f>D63</f>
        <v>0.09</v>
      </c>
      <c r="E121" s="444">
        <f t="shared" ref="E121:AI121" si="87">D121</f>
        <v>0.09</v>
      </c>
      <c r="F121" s="445">
        <f t="shared" si="87"/>
        <v>0.09</v>
      </c>
      <c r="G121" s="444">
        <f t="shared" si="87"/>
        <v>0.09</v>
      </c>
      <c r="H121" s="444">
        <f t="shared" si="87"/>
        <v>0.09</v>
      </c>
      <c r="I121" s="444">
        <f t="shared" si="87"/>
        <v>0.09</v>
      </c>
      <c r="J121" s="444">
        <f t="shared" si="87"/>
        <v>0.09</v>
      </c>
      <c r="K121" s="444">
        <f t="shared" si="87"/>
        <v>0.09</v>
      </c>
      <c r="L121" s="444">
        <f t="shared" si="87"/>
        <v>0.09</v>
      </c>
      <c r="M121" s="444">
        <f t="shared" si="87"/>
        <v>0.09</v>
      </c>
      <c r="N121" s="444">
        <f t="shared" si="87"/>
        <v>0.09</v>
      </c>
      <c r="O121" s="444">
        <f t="shared" si="87"/>
        <v>0.09</v>
      </c>
      <c r="P121" s="444">
        <f t="shared" si="87"/>
        <v>0.09</v>
      </c>
      <c r="Q121" s="444">
        <f t="shared" si="87"/>
        <v>0.09</v>
      </c>
      <c r="R121" s="444">
        <f t="shared" si="87"/>
        <v>0.09</v>
      </c>
      <c r="S121" s="444">
        <f t="shared" si="87"/>
        <v>0.09</v>
      </c>
      <c r="T121" s="444">
        <f t="shared" si="87"/>
        <v>0.09</v>
      </c>
      <c r="U121" s="444">
        <f t="shared" si="87"/>
        <v>0.09</v>
      </c>
      <c r="V121" s="444">
        <f t="shared" si="87"/>
        <v>0.09</v>
      </c>
      <c r="W121" s="444">
        <f t="shared" si="87"/>
        <v>0.09</v>
      </c>
      <c r="X121" s="444">
        <f t="shared" si="87"/>
        <v>0.09</v>
      </c>
      <c r="Y121" s="444">
        <f t="shared" si="87"/>
        <v>0.09</v>
      </c>
      <c r="Z121" s="444">
        <f t="shared" si="87"/>
        <v>0.09</v>
      </c>
      <c r="AA121" s="444">
        <f t="shared" si="87"/>
        <v>0.09</v>
      </c>
      <c r="AB121" s="444">
        <f t="shared" si="87"/>
        <v>0.09</v>
      </c>
      <c r="AC121" s="444">
        <f t="shared" si="87"/>
        <v>0.09</v>
      </c>
      <c r="AD121" s="444">
        <f t="shared" si="87"/>
        <v>0.09</v>
      </c>
      <c r="AE121" s="444">
        <f t="shared" si="87"/>
        <v>0.09</v>
      </c>
      <c r="AF121" s="444">
        <f t="shared" si="87"/>
        <v>0.09</v>
      </c>
      <c r="AG121" s="444">
        <f t="shared" si="87"/>
        <v>0.09</v>
      </c>
      <c r="AH121" s="444">
        <f t="shared" si="87"/>
        <v>0.09</v>
      </c>
      <c r="AI121" s="444">
        <f t="shared" si="87"/>
        <v>0.09</v>
      </c>
    </row>
    <row r="122" spans="1:35" s="51" customFormat="1" ht="13.5" x14ac:dyDescent="0.25">
      <c r="B122" s="59" t="s">
        <v>264</v>
      </c>
      <c r="C122" s="7" t="s">
        <v>10</v>
      </c>
      <c r="D122" s="57">
        <f>D64</f>
        <v>5.47</v>
      </c>
      <c r="E122" s="57">
        <f t="shared" ref="E122:AI122" si="88">E64</f>
        <v>5.47</v>
      </c>
      <c r="F122" s="58">
        <f t="shared" si="88"/>
        <v>5.47</v>
      </c>
      <c r="G122" s="57">
        <f t="shared" si="88"/>
        <v>5.47</v>
      </c>
      <c r="H122" s="57">
        <f t="shared" si="88"/>
        <v>5.47</v>
      </c>
      <c r="I122" s="57">
        <f t="shared" si="88"/>
        <v>5.47</v>
      </c>
      <c r="J122" s="57">
        <f t="shared" si="88"/>
        <v>5.47</v>
      </c>
      <c r="K122" s="57">
        <f t="shared" si="88"/>
        <v>5.47</v>
      </c>
      <c r="L122" s="57">
        <f t="shared" si="88"/>
        <v>5.47</v>
      </c>
      <c r="M122" s="57">
        <f t="shared" si="88"/>
        <v>5.47</v>
      </c>
      <c r="N122" s="57">
        <f t="shared" si="88"/>
        <v>5.47</v>
      </c>
      <c r="O122" s="57">
        <f t="shared" si="88"/>
        <v>5.47</v>
      </c>
      <c r="P122" s="57">
        <f t="shared" si="88"/>
        <v>5.47</v>
      </c>
      <c r="Q122" s="57">
        <f t="shared" si="88"/>
        <v>5.47</v>
      </c>
      <c r="R122" s="57">
        <f t="shared" si="88"/>
        <v>5.47</v>
      </c>
      <c r="S122" s="57">
        <f t="shared" si="88"/>
        <v>5.47</v>
      </c>
      <c r="T122" s="57">
        <f t="shared" si="88"/>
        <v>5.47</v>
      </c>
      <c r="U122" s="57">
        <f t="shared" si="88"/>
        <v>5.47</v>
      </c>
      <c r="V122" s="57">
        <f t="shared" si="88"/>
        <v>5.47</v>
      </c>
      <c r="W122" s="57">
        <f t="shared" si="88"/>
        <v>5.47</v>
      </c>
      <c r="X122" s="57">
        <f t="shared" si="88"/>
        <v>5.47</v>
      </c>
      <c r="Y122" s="57">
        <f t="shared" si="88"/>
        <v>5.47</v>
      </c>
      <c r="Z122" s="57">
        <f t="shared" si="88"/>
        <v>5.47</v>
      </c>
      <c r="AA122" s="57">
        <f t="shared" si="88"/>
        <v>5.47</v>
      </c>
      <c r="AB122" s="57">
        <f t="shared" si="88"/>
        <v>5.47</v>
      </c>
      <c r="AC122" s="57">
        <f t="shared" si="88"/>
        <v>5.47</v>
      </c>
      <c r="AD122" s="57">
        <f t="shared" si="88"/>
        <v>5.47</v>
      </c>
      <c r="AE122" s="57">
        <f t="shared" si="88"/>
        <v>5.47</v>
      </c>
      <c r="AF122" s="57">
        <f t="shared" si="88"/>
        <v>5.47</v>
      </c>
      <c r="AG122" s="57">
        <f t="shared" si="88"/>
        <v>5.47</v>
      </c>
      <c r="AH122" s="57">
        <f t="shared" si="88"/>
        <v>5.47</v>
      </c>
      <c r="AI122" s="57">
        <f t="shared" si="88"/>
        <v>5.47</v>
      </c>
    </row>
    <row r="123" spans="1:35" s="1" customFormat="1" ht="27" x14ac:dyDescent="0.25">
      <c r="A123" s="51"/>
      <c r="B123" s="13" t="s">
        <v>277</v>
      </c>
      <c r="C123" s="7" t="s">
        <v>12</v>
      </c>
      <c r="D123" s="56">
        <v>0</v>
      </c>
      <c r="E123" s="56">
        <f t="shared" ref="E123:K123" si="89">D123</f>
        <v>0</v>
      </c>
      <c r="F123" s="56">
        <f t="shared" si="89"/>
        <v>0</v>
      </c>
      <c r="G123" s="56">
        <f t="shared" si="89"/>
        <v>0</v>
      </c>
      <c r="H123" s="56">
        <f t="shared" si="89"/>
        <v>0</v>
      </c>
      <c r="I123" s="56">
        <f t="shared" si="89"/>
        <v>0</v>
      </c>
      <c r="J123" s="56">
        <f t="shared" si="89"/>
        <v>0</v>
      </c>
      <c r="K123" s="56">
        <f t="shared" si="89"/>
        <v>0</v>
      </c>
      <c r="L123" s="56">
        <f>K123+10</f>
        <v>10</v>
      </c>
      <c r="M123" s="56">
        <f t="shared" ref="M123:AI123" si="90">L123</f>
        <v>10</v>
      </c>
      <c r="N123" s="56">
        <f t="shared" si="90"/>
        <v>10</v>
      </c>
      <c r="O123" s="56">
        <f t="shared" si="90"/>
        <v>10</v>
      </c>
      <c r="P123" s="56">
        <f t="shared" si="90"/>
        <v>10</v>
      </c>
      <c r="Q123" s="56">
        <f t="shared" si="90"/>
        <v>10</v>
      </c>
      <c r="R123" s="56">
        <f t="shared" si="90"/>
        <v>10</v>
      </c>
      <c r="S123" s="56">
        <f t="shared" si="90"/>
        <v>10</v>
      </c>
      <c r="T123" s="56">
        <f t="shared" si="90"/>
        <v>10</v>
      </c>
      <c r="U123" s="56">
        <f t="shared" si="90"/>
        <v>10</v>
      </c>
      <c r="V123" s="56">
        <f t="shared" si="90"/>
        <v>10</v>
      </c>
      <c r="W123" s="56">
        <f t="shared" si="90"/>
        <v>10</v>
      </c>
      <c r="X123" s="56">
        <f t="shared" si="90"/>
        <v>10</v>
      </c>
      <c r="Y123" s="56">
        <f t="shared" si="90"/>
        <v>10</v>
      </c>
      <c r="Z123" s="56">
        <f t="shared" si="90"/>
        <v>10</v>
      </c>
      <c r="AA123" s="56">
        <f t="shared" si="90"/>
        <v>10</v>
      </c>
      <c r="AB123" s="56">
        <f t="shared" si="90"/>
        <v>10</v>
      </c>
      <c r="AC123" s="56">
        <f t="shared" si="90"/>
        <v>10</v>
      </c>
      <c r="AD123" s="56">
        <f t="shared" si="90"/>
        <v>10</v>
      </c>
      <c r="AE123" s="56">
        <f t="shared" si="90"/>
        <v>10</v>
      </c>
      <c r="AF123" s="56">
        <f t="shared" si="90"/>
        <v>10</v>
      </c>
      <c r="AG123" s="56">
        <f t="shared" si="90"/>
        <v>10</v>
      </c>
      <c r="AH123" s="56">
        <f t="shared" si="90"/>
        <v>10</v>
      </c>
      <c r="AI123" s="56">
        <f t="shared" si="90"/>
        <v>10</v>
      </c>
    </row>
    <row r="124" spans="1:35" s="1" customFormat="1" ht="13.5" x14ac:dyDescent="0.25">
      <c r="A124" s="51"/>
      <c r="B124" s="13" t="s">
        <v>271</v>
      </c>
      <c r="C124" s="7" t="s">
        <v>13</v>
      </c>
      <c r="D124" s="444">
        <f>D66</f>
        <v>1.04</v>
      </c>
      <c r="E124" s="444">
        <f t="shared" ref="E124:AI125" si="91">D124</f>
        <v>1.04</v>
      </c>
      <c r="F124" s="445">
        <f t="shared" si="91"/>
        <v>1.04</v>
      </c>
      <c r="G124" s="444">
        <f t="shared" si="91"/>
        <v>1.04</v>
      </c>
      <c r="H124" s="444">
        <f t="shared" si="91"/>
        <v>1.04</v>
      </c>
      <c r="I124" s="444">
        <f t="shared" si="91"/>
        <v>1.04</v>
      </c>
      <c r="J124" s="444">
        <f t="shared" si="91"/>
        <v>1.04</v>
      </c>
      <c r="K124" s="444">
        <f t="shared" si="91"/>
        <v>1.04</v>
      </c>
      <c r="L124" s="444">
        <f t="shared" si="91"/>
        <v>1.04</v>
      </c>
      <c r="M124" s="444">
        <f t="shared" si="91"/>
        <v>1.04</v>
      </c>
      <c r="N124" s="444">
        <f t="shared" si="91"/>
        <v>1.04</v>
      </c>
      <c r="O124" s="444">
        <f t="shared" si="91"/>
        <v>1.04</v>
      </c>
      <c r="P124" s="444">
        <f t="shared" si="91"/>
        <v>1.04</v>
      </c>
      <c r="Q124" s="444">
        <f t="shared" si="91"/>
        <v>1.04</v>
      </c>
      <c r="R124" s="444">
        <f t="shared" si="91"/>
        <v>1.04</v>
      </c>
      <c r="S124" s="444">
        <f t="shared" si="91"/>
        <v>1.04</v>
      </c>
      <c r="T124" s="444">
        <f t="shared" si="91"/>
        <v>1.04</v>
      </c>
      <c r="U124" s="444">
        <f t="shared" si="91"/>
        <v>1.04</v>
      </c>
      <c r="V124" s="444">
        <f t="shared" si="91"/>
        <v>1.04</v>
      </c>
      <c r="W124" s="444">
        <f t="shared" si="91"/>
        <v>1.04</v>
      </c>
      <c r="X124" s="444">
        <f t="shared" si="91"/>
        <v>1.04</v>
      </c>
      <c r="Y124" s="444">
        <f t="shared" si="91"/>
        <v>1.04</v>
      </c>
      <c r="Z124" s="444">
        <f t="shared" si="91"/>
        <v>1.04</v>
      </c>
      <c r="AA124" s="444">
        <f t="shared" si="91"/>
        <v>1.04</v>
      </c>
      <c r="AB124" s="444">
        <f t="shared" si="91"/>
        <v>1.04</v>
      </c>
      <c r="AC124" s="444">
        <f t="shared" si="91"/>
        <v>1.04</v>
      </c>
      <c r="AD124" s="444">
        <f t="shared" si="91"/>
        <v>1.04</v>
      </c>
      <c r="AE124" s="444">
        <f t="shared" si="91"/>
        <v>1.04</v>
      </c>
      <c r="AF124" s="444">
        <f t="shared" si="91"/>
        <v>1.04</v>
      </c>
      <c r="AG124" s="444">
        <f t="shared" si="91"/>
        <v>1.04</v>
      </c>
      <c r="AH124" s="444">
        <f t="shared" si="91"/>
        <v>1.04</v>
      </c>
      <c r="AI124" s="444">
        <f t="shared" si="91"/>
        <v>1.04</v>
      </c>
    </row>
    <row r="125" spans="1:35" s="1" customFormat="1" ht="27" x14ac:dyDescent="0.25">
      <c r="A125" s="51"/>
      <c r="B125" s="13" t="s">
        <v>278</v>
      </c>
      <c r="C125" s="7" t="s">
        <v>12</v>
      </c>
      <c r="D125" s="56">
        <v>0</v>
      </c>
      <c r="E125" s="56">
        <v>0</v>
      </c>
      <c r="F125" s="56">
        <v>0</v>
      </c>
      <c r="G125" s="56">
        <f>F125</f>
        <v>0</v>
      </c>
      <c r="H125" s="56">
        <f>G125</f>
        <v>0</v>
      </c>
      <c r="I125" s="56">
        <f>H125</f>
        <v>0</v>
      </c>
      <c r="J125" s="56">
        <f>I125</f>
        <v>0</v>
      </c>
      <c r="K125" s="56">
        <f>J125</f>
        <v>0</v>
      </c>
      <c r="L125" s="56">
        <f>K125+400</f>
        <v>400</v>
      </c>
      <c r="M125" s="56">
        <f t="shared" si="91"/>
        <v>400</v>
      </c>
      <c r="N125" s="56">
        <f t="shared" si="91"/>
        <v>400</v>
      </c>
      <c r="O125" s="56">
        <f t="shared" si="91"/>
        <v>400</v>
      </c>
      <c r="P125" s="56">
        <f t="shared" si="91"/>
        <v>400</v>
      </c>
      <c r="Q125" s="56">
        <f t="shared" si="91"/>
        <v>400</v>
      </c>
      <c r="R125" s="56">
        <f t="shared" si="91"/>
        <v>400</v>
      </c>
      <c r="S125" s="56">
        <f t="shared" si="91"/>
        <v>400</v>
      </c>
      <c r="T125" s="56">
        <f t="shared" si="91"/>
        <v>400</v>
      </c>
      <c r="U125" s="56">
        <f t="shared" si="91"/>
        <v>400</v>
      </c>
      <c r="V125" s="56">
        <f t="shared" si="91"/>
        <v>400</v>
      </c>
      <c r="W125" s="56">
        <f t="shared" si="91"/>
        <v>400</v>
      </c>
      <c r="X125" s="56">
        <f t="shared" si="91"/>
        <v>400</v>
      </c>
      <c r="Y125" s="56">
        <f t="shared" si="91"/>
        <v>400</v>
      </c>
      <c r="Z125" s="56">
        <f t="shared" si="91"/>
        <v>400</v>
      </c>
      <c r="AA125" s="56">
        <f t="shared" si="91"/>
        <v>400</v>
      </c>
      <c r="AB125" s="56">
        <f t="shared" si="91"/>
        <v>400</v>
      </c>
      <c r="AC125" s="56">
        <f t="shared" si="91"/>
        <v>400</v>
      </c>
      <c r="AD125" s="56">
        <f t="shared" si="91"/>
        <v>400</v>
      </c>
      <c r="AE125" s="56">
        <f t="shared" si="91"/>
        <v>400</v>
      </c>
      <c r="AF125" s="56">
        <f t="shared" si="91"/>
        <v>400</v>
      </c>
      <c r="AG125" s="56">
        <f t="shared" si="91"/>
        <v>400</v>
      </c>
      <c r="AH125" s="56">
        <f t="shared" si="91"/>
        <v>400</v>
      </c>
      <c r="AI125" s="56">
        <f t="shared" si="91"/>
        <v>400</v>
      </c>
    </row>
    <row r="126" spans="1:35" s="1" customFormat="1" ht="27" x14ac:dyDescent="0.25">
      <c r="A126" s="51"/>
      <c r="B126" s="13" t="s">
        <v>273</v>
      </c>
      <c r="C126" s="7" t="s">
        <v>13</v>
      </c>
      <c r="D126" s="444">
        <f>D68</f>
        <v>0.17</v>
      </c>
      <c r="E126" s="444">
        <f t="shared" ref="E126:AI126" si="92">D126</f>
        <v>0.17</v>
      </c>
      <c r="F126" s="445">
        <f t="shared" si="92"/>
        <v>0.17</v>
      </c>
      <c r="G126" s="444">
        <f t="shared" si="92"/>
        <v>0.17</v>
      </c>
      <c r="H126" s="444">
        <f t="shared" si="92"/>
        <v>0.17</v>
      </c>
      <c r="I126" s="444">
        <f t="shared" si="92"/>
        <v>0.17</v>
      </c>
      <c r="J126" s="444">
        <f t="shared" si="92"/>
        <v>0.17</v>
      </c>
      <c r="K126" s="444">
        <f t="shared" si="92"/>
        <v>0.17</v>
      </c>
      <c r="L126" s="444">
        <f t="shared" si="92"/>
        <v>0.17</v>
      </c>
      <c r="M126" s="444">
        <f t="shared" si="92"/>
        <v>0.17</v>
      </c>
      <c r="N126" s="444">
        <f t="shared" si="92"/>
        <v>0.17</v>
      </c>
      <c r="O126" s="444">
        <f t="shared" si="92"/>
        <v>0.17</v>
      </c>
      <c r="P126" s="444">
        <f t="shared" si="92"/>
        <v>0.17</v>
      </c>
      <c r="Q126" s="444">
        <f t="shared" si="92"/>
        <v>0.17</v>
      </c>
      <c r="R126" s="444">
        <f t="shared" si="92"/>
        <v>0.17</v>
      </c>
      <c r="S126" s="444">
        <f t="shared" si="92"/>
        <v>0.17</v>
      </c>
      <c r="T126" s="444">
        <f t="shared" si="92"/>
        <v>0.17</v>
      </c>
      <c r="U126" s="444">
        <f t="shared" si="92"/>
        <v>0.17</v>
      </c>
      <c r="V126" s="444">
        <f t="shared" si="92"/>
        <v>0.17</v>
      </c>
      <c r="W126" s="444">
        <f t="shared" si="92"/>
        <v>0.17</v>
      </c>
      <c r="X126" s="444">
        <f t="shared" si="92"/>
        <v>0.17</v>
      </c>
      <c r="Y126" s="444">
        <f t="shared" si="92"/>
        <v>0.17</v>
      </c>
      <c r="Z126" s="444">
        <f t="shared" si="92"/>
        <v>0.17</v>
      </c>
      <c r="AA126" s="444">
        <f t="shared" si="92"/>
        <v>0.17</v>
      </c>
      <c r="AB126" s="444">
        <f t="shared" si="92"/>
        <v>0.17</v>
      </c>
      <c r="AC126" s="444">
        <f t="shared" si="92"/>
        <v>0.17</v>
      </c>
      <c r="AD126" s="444">
        <f t="shared" si="92"/>
        <v>0.17</v>
      </c>
      <c r="AE126" s="444">
        <f t="shared" si="92"/>
        <v>0.17</v>
      </c>
      <c r="AF126" s="444">
        <f t="shared" si="92"/>
        <v>0.17</v>
      </c>
      <c r="AG126" s="444">
        <f t="shared" si="92"/>
        <v>0.17</v>
      </c>
      <c r="AH126" s="444">
        <f t="shared" si="92"/>
        <v>0.17</v>
      </c>
      <c r="AI126" s="444">
        <f t="shared" si="92"/>
        <v>0.17</v>
      </c>
    </row>
    <row r="127" spans="1:35" s="1" customFormat="1" ht="13.5" x14ac:dyDescent="0.25">
      <c r="A127" s="51"/>
      <c r="B127" s="20" t="s">
        <v>14</v>
      </c>
      <c r="C127" s="7"/>
      <c r="D127" s="57"/>
      <c r="E127" s="57"/>
      <c r="F127" s="58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</row>
    <row r="128" spans="1:35" s="1" customFormat="1" ht="13.5" x14ac:dyDescent="0.25">
      <c r="A128" s="51"/>
      <c r="B128" s="60" t="str">
        <f>B70</f>
        <v>Koszty zwiazane z działaniem systemu</v>
      </c>
      <c r="C128" s="7"/>
      <c r="D128" s="57"/>
      <c r="E128" s="57"/>
      <c r="F128" s="58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</row>
    <row r="129" spans="1:35" s="51" customFormat="1" ht="13.5" x14ac:dyDescent="0.25">
      <c r="A129" s="51">
        <v>1</v>
      </c>
      <c r="B129" s="61" t="s">
        <v>145</v>
      </c>
      <c r="C129" s="7" t="s">
        <v>16</v>
      </c>
      <c r="D129" s="57">
        <f t="shared" ref="D129:AI129" si="93">D71-D31</f>
        <v>0</v>
      </c>
      <c r="E129" s="57">
        <f t="shared" si="93"/>
        <v>0</v>
      </c>
      <c r="F129" s="57">
        <f t="shared" si="93"/>
        <v>0</v>
      </c>
      <c r="G129" s="57">
        <f t="shared" si="93"/>
        <v>0</v>
      </c>
      <c r="H129" s="57">
        <f t="shared" si="93"/>
        <v>0</v>
      </c>
      <c r="I129" s="57">
        <f t="shared" si="93"/>
        <v>0</v>
      </c>
      <c r="J129" s="57">
        <f t="shared" si="93"/>
        <v>0</v>
      </c>
      <c r="K129" s="57">
        <f t="shared" si="93"/>
        <v>0</v>
      </c>
      <c r="L129" s="57">
        <f t="shared" si="93"/>
        <v>5140307.875</v>
      </c>
      <c r="M129" s="57">
        <f t="shared" si="93"/>
        <v>5140307.875</v>
      </c>
      <c r="N129" s="57">
        <f t="shared" si="93"/>
        <v>5140307.875</v>
      </c>
      <c r="O129" s="57">
        <f t="shared" si="93"/>
        <v>5140307.875</v>
      </c>
      <c r="P129" s="57">
        <f t="shared" si="93"/>
        <v>5140307.875</v>
      </c>
      <c r="Q129" s="57">
        <f t="shared" si="93"/>
        <v>5140307.875</v>
      </c>
      <c r="R129" s="57">
        <f t="shared" si="93"/>
        <v>5140307.875</v>
      </c>
      <c r="S129" s="57">
        <f t="shared" si="93"/>
        <v>5140307.875</v>
      </c>
      <c r="T129" s="57">
        <f t="shared" si="93"/>
        <v>5140307.875</v>
      </c>
      <c r="U129" s="57">
        <f t="shared" si="93"/>
        <v>5140307.875</v>
      </c>
      <c r="V129" s="57">
        <f t="shared" si="93"/>
        <v>5387345.7687500007</v>
      </c>
      <c r="W129" s="57">
        <f t="shared" si="93"/>
        <v>5387345.7687500007</v>
      </c>
      <c r="X129" s="57">
        <f t="shared" si="93"/>
        <v>5387345.7687500007</v>
      </c>
      <c r="Y129" s="57">
        <f t="shared" si="93"/>
        <v>5387345.7687500007</v>
      </c>
      <c r="Z129" s="57">
        <f t="shared" si="93"/>
        <v>5387345.7687500007</v>
      </c>
      <c r="AA129" s="57">
        <f t="shared" si="93"/>
        <v>5634383.6625000015</v>
      </c>
      <c r="AB129" s="57">
        <f t="shared" si="93"/>
        <v>5634383.6625000015</v>
      </c>
      <c r="AC129" s="57">
        <f t="shared" si="93"/>
        <v>5634383.6625000015</v>
      </c>
      <c r="AD129" s="57">
        <f t="shared" si="93"/>
        <v>5634383.6625000015</v>
      </c>
      <c r="AE129" s="57">
        <f t="shared" si="93"/>
        <v>5634383.6625000015</v>
      </c>
      <c r="AF129" s="57">
        <f t="shared" si="93"/>
        <v>5881421.5562499985</v>
      </c>
      <c r="AG129" s="57">
        <f t="shared" si="93"/>
        <v>5881421.5562499985</v>
      </c>
      <c r="AH129" s="57">
        <f t="shared" si="93"/>
        <v>5881421.5562499985</v>
      </c>
      <c r="AI129" s="57">
        <f t="shared" si="93"/>
        <v>5881421.5562499985</v>
      </c>
    </row>
    <row r="130" spans="1:35" s="51" customFormat="1" ht="13.5" x14ac:dyDescent="0.25">
      <c r="A130" s="51">
        <v>2</v>
      </c>
      <c r="B130" s="61" t="s">
        <v>295</v>
      </c>
      <c r="C130" s="7" t="s">
        <v>16</v>
      </c>
      <c r="D130" s="57">
        <f t="shared" ref="D130:AI130" si="94">D72-D32</f>
        <v>0</v>
      </c>
      <c r="E130" s="57">
        <f t="shared" si="94"/>
        <v>0</v>
      </c>
      <c r="F130" s="57">
        <f t="shared" si="94"/>
        <v>0</v>
      </c>
      <c r="G130" s="57">
        <f t="shared" si="94"/>
        <v>294000</v>
      </c>
      <c r="H130" s="57">
        <f t="shared" si="94"/>
        <v>294000</v>
      </c>
      <c r="I130" s="57">
        <f t="shared" si="94"/>
        <v>294000</v>
      </c>
      <c r="J130" s="57">
        <f t="shared" si="94"/>
        <v>294000</v>
      </c>
      <c r="K130" s="57">
        <f t="shared" si="94"/>
        <v>294000</v>
      </c>
      <c r="L130" s="57">
        <f t="shared" si="94"/>
        <v>294000</v>
      </c>
      <c r="M130" s="57">
        <f t="shared" si="94"/>
        <v>294000</v>
      </c>
      <c r="N130" s="57">
        <f t="shared" si="94"/>
        <v>294000</v>
      </c>
      <c r="O130" s="57">
        <f t="shared" si="94"/>
        <v>294000</v>
      </c>
      <c r="P130" s="57">
        <f t="shared" si="94"/>
        <v>294000</v>
      </c>
      <c r="Q130" s="57">
        <f t="shared" si="94"/>
        <v>294000</v>
      </c>
      <c r="R130" s="57">
        <f t="shared" si="94"/>
        <v>294000</v>
      </c>
      <c r="S130" s="57">
        <f t="shared" si="94"/>
        <v>294000</v>
      </c>
      <c r="T130" s="57">
        <f t="shared" si="94"/>
        <v>294000</v>
      </c>
      <c r="U130" s="57">
        <f t="shared" si="94"/>
        <v>294000</v>
      </c>
      <c r="V130" s="57">
        <f t="shared" si="94"/>
        <v>294000</v>
      </c>
      <c r="W130" s="57">
        <f t="shared" si="94"/>
        <v>294000</v>
      </c>
      <c r="X130" s="57">
        <f t="shared" si="94"/>
        <v>294000</v>
      </c>
      <c r="Y130" s="57">
        <f t="shared" si="94"/>
        <v>294000</v>
      </c>
      <c r="Z130" s="57">
        <f t="shared" si="94"/>
        <v>294000</v>
      </c>
      <c r="AA130" s="57">
        <f t="shared" si="94"/>
        <v>294000</v>
      </c>
      <c r="AB130" s="57">
        <f t="shared" si="94"/>
        <v>294000</v>
      </c>
      <c r="AC130" s="57">
        <f t="shared" si="94"/>
        <v>294000</v>
      </c>
      <c r="AD130" s="57">
        <f t="shared" si="94"/>
        <v>294000</v>
      </c>
      <c r="AE130" s="57">
        <f t="shared" si="94"/>
        <v>294000</v>
      </c>
      <c r="AF130" s="57">
        <f t="shared" si="94"/>
        <v>294000</v>
      </c>
      <c r="AG130" s="57">
        <f t="shared" si="94"/>
        <v>294000</v>
      </c>
      <c r="AH130" s="57">
        <f t="shared" si="94"/>
        <v>294000</v>
      </c>
      <c r="AI130" s="57">
        <f t="shared" si="94"/>
        <v>294000</v>
      </c>
    </row>
    <row r="131" spans="1:35" s="51" customFormat="1" ht="13.5" x14ac:dyDescent="0.25">
      <c r="A131" s="51">
        <v>3</v>
      </c>
      <c r="B131" s="61" t="s">
        <v>296</v>
      </c>
      <c r="C131" s="7" t="s">
        <v>16</v>
      </c>
      <c r="D131" s="57">
        <f t="shared" ref="D131:AI131" si="95">D73-D33</f>
        <v>0</v>
      </c>
      <c r="E131" s="57">
        <f t="shared" si="95"/>
        <v>0</v>
      </c>
      <c r="F131" s="57">
        <f t="shared" si="95"/>
        <v>0</v>
      </c>
      <c r="G131" s="57">
        <f t="shared" si="95"/>
        <v>0</v>
      </c>
      <c r="H131" s="57">
        <f t="shared" si="95"/>
        <v>0</v>
      </c>
      <c r="I131" s="57">
        <f t="shared" si="95"/>
        <v>0</v>
      </c>
      <c r="J131" s="57">
        <f t="shared" si="95"/>
        <v>0</v>
      </c>
      <c r="K131" s="57">
        <f t="shared" si="95"/>
        <v>0</v>
      </c>
      <c r="L131" s="57">
        <f t="shared" si="95"/>
        <v>388661</v>
      </c>
      <c r="M131" s="57">
        <f t="shared" si="95"/>
        <v>388661</v>
      </c>
      <c r="N131" s="57">
        <f t="shared" si="95"/>
        <v>388661</v>
      </c>
      <c r="O131" s="57">
        <f t="shared" si="95"/>
        <v>388661</v>
      </c>
      <c r="P131" s="57">
        <f t="shared" si="95"/>
        <v>388661</v>
      </c>
      <c r="Q131" s="57">
        <f t="shared" si="95"/>
        <v>388661</v>
      </c>
      <c r="R131" s="57">
        <f t="shared" si="95"/>
        <v>388661</v>
      </c>
      <c r="S131" s="57">
        <f t="shared" si="95"/>
        <v>388661</v>
      </c>
      <c r="T131" s="57">
        <f t="shared" si="95"/>
        <v>388661</v>
      </c>
      <c r="U131" s="57">
        <f t="shared" si="95"/>
        <v>388661</v>
      </c>
      <c r="V131" s="57">
        <f t="shared" si="95"/>
        <v>388661</v>
      </c>
      <c r="W131" s="57">
        <f t="shared" si="95"/>
        <v>388661</v>
      </c>
      <c r="X131" s="57">
        <f t="shared" si="95"/>
        <v>388661</v>
      </c>
      <c r="Y131" s="57">
        <f t="shared" si="95"/>
        <v>388661</v>
      </c>
      <c r="Z131" s="57">
        <f t="shared" si="95"/>
        <v>388661</v>
      </c>
      <c r="AA131" s="57">
        <f t="shared" si="95"/>
        <v>388661</v>
      </c>
      <c r="AB131" s="57">
        <f t="shared" si="95"/>
        <v>388661</v>
      </c>
      <c r="AC131" s="57">
        <f t="shared" si="95"/>
        <v>388661</v>
      </c>
      <c r="AD131" s="57">
        <f t="shared" si="95"/>
        <v>388661</v>
      </c>
      <c r="AE131" s="57">
        <f t="shared" si="95"/>
        <v>388661</v>
      </c>
      <c r="AF131" s="57">
        <f t="shared" si="95"/>
        <v>388661</v>
      </c>
      <c r="AG131" s="57">
        <f t="shared" si="95"/>
        <v>388661</v>
      </c>
      <c r="AH131" s="57">
        <f t="shared" si="95"/>
        <v>388661</v>
      </c>
      <c r="AI131" s="57">
        <f t="shared" si="95"/>
        <v>388661</v>
      </c>
    </row>
    <row r="132" spans="1:35" s="51" customFormat="1" ht="13.5" x14ac:dyDescent="0.25">
      <c r="A132" s="51">
        <v>4</v>
      </c>
      <c r="B132" s="62" t="s">
        <v>294</v>
      </c>
      <c r="C132" s="7" t="s">
        <v>16</v>
      </c>
      <c r="D132" s="57">
        <f t="shared" ref="D132:AI132" si="96">D74-D34</f>
        <v>0</v>
      </c>
      <c r="E132" s="57">
        <f t="shared" si="96"/>
        <v>0</v>
      </c>
      <c r="F132" s="57">
        <f t="shared" si="96"/>
        <v>0</v>
      </c>
      <c r="G132" s="57">
        <f t="shared" si="96"/>
        <v>0</v>
      </c>
      <c r="H132" s="57">
        <f t="shared" si="96"/>
        <v>0</v>
      </c>
      <c r="I132" s="57">
        <f t="shared" si="96"/>
        <v>0</v>
      </c>
      <c r="J132" s="57">
        <f t="shared" si="96"/>
        <v>0</v>
      </c>
      <c r="K132" s="57">
        <f t="shared" si="96"/>
        <v>0</v>
      </c>
      <c r="L132" s="57">
        <f t="shared" si="96"/>
        <v>546555</v>
      </c>
      <c r="M132" s="57">
        <f t="shared" si="96"/>
        <v>546555</v>
      </c>
      <c r="N132" s="57">
        <f t="shared" si="96"/>
        <v>546555</v>
      </c>
      <c r="O132" s="57">
        <f t="shared" si="96"/>
        <v>546555</v>
      </c>
      <c r="P132" s="57">
        <f t="shared" si="96"/>
        <v>546555</v>
      </c>
      <c r="Q132" s="57">
        <f t="shared" si="96"/>
        <v>546555</v>
      </c>
      <c r="R132" s="57">
        <f t="shared" si="96"/>
        <v>546555</v>
      </c>
      <c r="S132" s="57">
        <f t="shared" si="96"/>
        <v>546555</v>
      </c>
      <c r="T132" s="57">
        <f t="shared" si="96"/>
        <v>546555</v>
      </c>
      <c r="U132" s="57">
        <f t="shared" si="96"/>
        <v>546555</v>
      </c>
      <c r="V132" s="57">
        <f t="shared" si="96"/>
        <v>546555</v>
      </c>
      <c r="W132" s="57">
        <f t="shared" si="96"/>
        <v>546555</v>
      </c>
      <c r="X132" s="57">
        <f t="shared" si="96"/>
        <v>546555</v>
      </c>
      <c r="Y132" s="57">
        <f t="shared" si="96"/>
        <v>546555</v>
      </c>
      <c r="Z132" s="57">
        <f t="shared" si="96"/>
        <v>546555</v>
      </c>
      <c r="AA132" s="57">
        <f t="shared" si="96"/>
        <v>546555</v>
      </c>
      <c r="AB132" s="57">
        <f t="shared" si="96"/>
        <v>546555</v>
      </c>
      <c r="AC132" s="57">
        <f t="shared" si="96"/>
        <v>546555</v>
      </c>
      <c r="AD132" s="57">
        <f t="shared" si="96"/>
        <v>546555</v>
      </c>
      <c r="AE132" s="57">
        <f t="shared" si="96"/>
        <v>546555</v>
      </c>
      <c r="AF132" s="57">
        <f t="shared" si="96"/>
        <v>546555</v>
      </c>
      <c r="AG132" s="57">
        <f t="shared" si="96"/>
        <v>546555</v>
      </c>
      <c r="AH132" s="57">
        <f t="shared" si="96"/>
        <v>546555</v>
      </c>
      <c r="AI132" s="57">
        <f t="shared" si="96"/>
        <v>546555</v>
      </c>
    </row>
    <row r="133" spans="1:35" s="51" customFormat="1" ht="13.5" x14ac:dyDescent="0.25">
      <c r="A133" s="51">
        <v>5</v>
      </c>
      <c r="B133" s="62" t="s">
        <v>18</v>
      </c>
      <c r="C133" s="7" t="s">
        <v>16</v>
      </c>
      <c r="D133" s="57">
        <f t="shared" ref="D133:AI133" si="97">D75-D35</f>
        <v>0</v>
      </c>
      <c r="E133" s="57">
        <f t="shared" si="97"/>
        <v>0</v>
      </c>
      <c r="F133" s="57">
        <f t="shared" si="97"/>
        <v>0</v>
      </c>
      <c r="G133" s="57">
        <f t="shared" si="97"/>
        <v>0</v>
      </c>
      <c r="H133" s="57">
        <f t="shared" si="97"/>
        <v>0</v>
      </c>
      <c r="I133" s="57">
        <f t="shared" si="97"/>
        <v>0</v>
      </c>
      <c r="J133" s="57">
        <f t="shared" si="97"/>
        <v>0</v>
      </c>
      <c r="K133" s="57">
        <f t="shared" si="97"/>
        <v>0</v>
      </c>
      <c r="L133" s="57">
        <f t="shared" si="97"/>
        <v>4112246.3000000007</v>
      </c>
      <c r="M133" s="57">
        <f t="shared" si="97"/>
        <v>4112246.3000000007</v>
      </c>
      <c r="N133" s="57">
        <f t="shared" si="97"/>
        <v>4112246.3000000007</v>
      </c>
      <c r="O133" s="57">
        <f t="shared" si="97"/>
        <v>4112246.3000000007</v>
      </c>
      <c r="P133" s="57">
        <f t="shared" si="97"/>
        <v>4112246.3000000007</v>
      </c>
      <c r="Q133" s="57">
        <f t="shared" si="97"/>
        <v>4112246.3000000007</v>
      </c>
      <c r="R133" s="57">
        <f t="shared" si="97"/>
        <v>4112246.3000000007</v>
      </c>
      <c r="S133" s="57">
        <f t="shared" si="97"/>
        <v>4112246.3000000007</v>
      </c>
      <c r="T133" s="57">
        <f t="shared" si="97"/>
        <v>4112246.3000000007</v>
      </c>
      <c r="U133" s="57">
        <f t="shared" si="97"/>
        <v>4112246.3000000007</v>
      </c>
      <c r="V133" s="57">
        <f t="shared" si="97"/>
        <v>4112246.3000000007</v>
      </c>
      <c r="W133" s="57">
        <f t="shared" si="97"/>
        <v>4112246.3000000007</v>
      </c>
      <c r="X133" s="57">
        <f t="shared" si="97"/>
        <v>4112246.3000000007</v>
      </c>
      <c r="Y133" s="57">
        <f t="shared" si="97"/>
        <v>4112246.3000000007</v>
      </c>
      <c r="Z133" s="57">
        <f t="shared" si="97"/>
        <v>4112246.3000000007</v>
      </c>
      <c r="AA133" s="57">
        <f t="shared" si="97"/>
        <v>4112246.3000000007</v>
      </c>
      <c r="AB133" s="57">
        <f t="shared" si="97"/>
        <v>4112246.3000000007</v>
      </c>
      <c r="AC133" s="57">
        <f t="shared" si="97"/>
        <v>4112246.3000000007</v>
      </c>
      <c r="AD133" s="57">
        <f t="shared" si="97"/>
        <v>4112246.3000000007</v>
      </c>
      <c r="AE133" s="57">
        <f t="shared" si="97"/>
        <v>4112246.3000000007</v>
      </c>
      <c r="AF133" s="57">
        <f t="shared" si="97"/>
        <v>4112246.3000000007</v>
      </c>
      <c r="AG133" s="57">
        <f t="shared" si="97"/>
        <v>4112246.3000000007</v>
      </c>
      <c r="AH133" s="57">
        <f t="shared" si="97"/>
        <v>4112246.3000000007</v>
      </c>
      <c r="AI133" s="57">
        <f t="shared" si="97"/>
        <v>4112246.3000000007</v>
      </c>
    </row>
    <row r="134" spans="1:35" s="51" customFormat="1" ht="13.5" x14ac:dyDescent="0.25">
      <c r="A134" s="51">
        <v>6</v>
      </c>
      <c r="B134" s="62" t="s">
        <v>17</v>
      </c>
      <c r="C134" s="7" t="s">
        <v>16</v>
      </c>
      <c r="D134" s="57">
        <f t="shared" ref="D134:AI134" si="98">D76-D36</f>
        <v>0</v>
      </c>
      <c r="E134" s="57">
        <f t="shared" si="98"/>
        <v>0</v>
      </c>
      <c r="F134" s="57">
        <f t="shared" si="98"/>
        <v>0</v>
      </c>
      <c r="G134" s="57">
        <f t="shared" si="98"/>
        <v>0</v>
      </c>
      <c r="H134" s="57">
        <f t="shared" si="98"/>
        <v>0</v>
      </c>
      <c r="I134" s="57">
        <f t="shared" si="98"/>
        <v>0</v>
      </c>
      <c r="J134" s="57">
        <f t="shared" si="98"/>
        <v>0</v>
      </c>
      <c r="K134" s="57">
        <f t="shared" si="98"/>
        <v>0</v>
      </c>
      <c r="L134" s="57">
        <f t="shared" si="98"/>
        <v>242913</v>
      </c>
      <c r="M134" s="57">
        <f t="shared" si="98"/>
        <v>242913</v>
      </c>
      <c r="N134" s="57">
        <f t="shared" si="98"/>
        <v>242913</v>
      </c>
      <c r="O134" s="57">
        <f t="shared" si="98"/>
        <v>242913</v>
      </c>
      <c r="P134" s="57">
        <f t="shared" si="98"/>
        <v>242913</v>
      </c>
      <c r="Q134" s="57">
        <f t="shared" si="98"/>
        <v>242913</v>
      </c>
      <c r="R134" s="57">
        <f t="shared" si="98"/>
        <v>242913</v>
      </c>
      <c r="S134" s="57">
        <f t="shared" si="98"/>
        <v>242913</v>
      </c>
      <c r="T134" s="57">
        <f t="shared" si="98"/>
        <v>242913</v>
      </c>
      <c r="U134" s="57">
        <f t="shared" si="98"/>
        <v>242913</v>
      </c>
      <c r="V134" s="57">
        <f t="shared" si="98"/>
        <v>242913</v>
      </c>
      <c r="W134" s="57">
        <f t="shared" si="98"/>
        <v>242913</v>
      </c>
      <c r="X134" s="57">
        <f t="shared" si="98"/>
        <v>242913</v>
      </c>
      <c r="Y134" s="57">
        <f t="shared" si="98"/>
        <v>242913</v>
      </c>
      <c r="Z134" s="57">
        <f t="shared" si="98"/>
        <v>242913</v>
      </c>
      <c r="AA134" s="57">
        <f t="shared" si="98"/>
        <v>242913</v>
      </c>
      <c r="AB134" s="57">
        <f t="shared" si="98"/>
        <v>242913</v>
      </c>
      <c r="AC134" s="57">
        <f t="shared" si="98"/>
        <v>242913</v>
      </c>
      <c r="AD134" s="57">
        <f t="shared" si="98"/>
        <v>242913</v>
      </c>
      <c r="AE134" s="57">
        <f t="shared" si="98"/>
        <v>242913</v>
      </c>
      <c r="AF134" s="57">
        <f t="shared" si="98"/>
        <v>242913</v>
      </c>
      <c r="AG134" s="57">
        <f t="shared" si="98"/>
        <v>242913</v>
      </c>
      <c r="AH134" s="57">
        <f t="shared" si="98"/>
        <v>242913</v>
      </c>
      <c r="AI134" s="57">
        <f t="shared" si="98"/>
        <v>242913</v>
      </c>
    </row>
    <row r="135" spans="1:35" s="51" customFormat="1" ht="13.5" x14ac:dyDescent="0.25">
      <c r="A135" s="51">
        <v>7</v>
      </c>
      <c r="B135" s="62" t="s">
        <v>297</v>
      </c>
      <c r="C135" s="7" t="s">
        <v>16</v>
      </c>
      <c r="D135" s="57">
        <f t="shared" ref="D135:AI135" si="99">D77-D37</f>
        <v>0</v>
      </c>
      <c r="E135" s="57">
        <f t="shared" si="99"/>
        <v>0</v>
      </c>
      <c r="F135" s="57">
        <f t="shared" si="99"/>
        <v>0</v>
      </c>
      <c r="G135" s="57">
        <f t="shared" si="99"/>
        <v>0</v>
      </c>
      <c r="H135" s="57">
        <f t="shared" si="99"/>
        <v>0</v>
      </c>
      <c r="I135" s="57">
        <f t="shared" si="99"/>
        <v>0</v>
      </c>
      <c r="J135" s="57">
        <f t="shared" si="99"/>
        <v>0</v>
      </c>
      <c r="K135" s="57">
        <f t="shared" si="99"/>
        <v>0</v>
      </c>
      <c r="L135" s="57">
        <f t="shared" si="99"/>
        <v>36437</v>
      </c>
      <c r="M135" s="57">
        <f t="shared" si="99"/>
        <v>36437</v>
      </c>
      <c r="N135" s="57">
        <f t="shared" si="99"/>
        <v>36437</v>
      </c>
      <c r="O135" s="57">
        <f t="shared" si="99"/>
        <v>36437</v>
      </c>
      <c r="P135" s="57">
        <f t="shared" si="99"/>
        <v>36437</v>
      </c>
      <c r="Q135" s="57">
        <f t="shared" si="99"/>
        <v>36437</v>
      </c>
      <c r="R135" s="57">
        <f t="shared" si="99"/>
        <v>36437</v>
      </c>
      <c r="S135" s="57">
        <f t="shared" si="99"/>
        <v>36437</v>
      </c>
      <c r="T135" s="57">
        <f t="shared" si="99"/>
        <v>36437</v>
      </c>
      <c r="U135" s="57">
        <f t="shared" si="99"/>
        <v>36437</v>
      </c>
      <c r="V135" s="57">
        <f t="shared" si="99"/>
        <v>36437</v>
      </c>
      <c r="W135" s="57">
        <f t="shared" si="99"/>
        <v>36437</v>
      </c>
      <c r="X135" s="57">
        <f t="shared" si="99"/>
        <v>36437</v>
      </c>
      <c r="Y135" s="57">
        <f t="shared" si="99"/>
        <v>36437</v>
      </c>
      <c r="Z135" s="57">
        <f t="shared" si="99"/>
        <v>36437</v>
      </c>
      <c r="AA135" s="57">
        <f t="shared" si="99"/>
        <v>36437</v>
      </c>
      <c r="AB135" s="57">
        <f t="shared" si="99"/>
        <v>36437</v>
      </c>
      <c r="AC135" s="57">
        <f t="shared" si="99"/>
        <v>36437</v>
      </c>
      <c r="AD135" s="57">
        <f t="shared" si="99"/>
        <v>36437</v>
      </c>
      <c r="AE135" s="57">
        <f t="shared" si="99"/>
        <v>36437</v>
      </c>
      <c r="AF135" s="57">
        <f t="shared" si="99"/>
        <v>36437</v>
      </c>
      <c r="AG135" s="57">
        <f t="shared" si="99"/>
        <v>36437</v>
      </c>
      <c r="AH135" s="57">
        <f t="shared" si="99"/>
        <v>36437</v>
      </c>
      <c r="AI135" s="57">
        <f t="shared" si="99"/>
        <v>36437</v>
      </c>
    </row>
    <row r="136" spans="1:35" s="51" customFormat="1" ht="12" customHeight="1" thickBot="1" x14ac:dyDescent="0.3">
      <c r="A136" s="51">
        <v>8</v>
      </c>
      <c r="B136" s="63" t="s">
        <v>298</v>
      </c>
      <c r="C136" s="7" t="s">
        <v>16</v>
      </c>
      <c r="D136" s="57">
        <f t="shared" ref="D136:AI136" si="100">D78-D38</f>
        <v>0</v>
      </c>
      <c r="E136" s="57">
        <f t="shared" si="100"/>
        <v>0</v>
      </c>
      <c r="F136" s="57">
        <f t="shared" si="100"/>
        <v>0</v>
      </c>
      <c r="G136" s="57">
        <f t="shared" si="100"/>
        <v>0</v>
      </c>
      <c r="H136" s="57">
        <f t="shared" si="100"/>
        <v>0</v>
      </c>
      <c r="I136" s="57">
        <f t="shared" si="100"/>
        <v>0</v>
      </c>
      <c r="J136" s="57">
        <f t="shared" si="100"/>
        <v>0</v>
      </c>
      <c r="K136" s="57">
        <f t="shared" si="100"/>
        <v>0</v>
      </c>
      <c r="L136" s="57">
        <f t="shared" si="100"/>
        <v>910925</v>
      </c>
      <c r="M136" s="57">
        <f t="shared" si="100"/>
        <v>910925</v>
      </c>
      <c r="N136" s="57">
        <f t="shared" si="100"/>
        <v>910925</v>
      </c>
      <c r="O136" s="57">
        <f t="shared" si="100"/>
        <v>910925</v>
      </c>
      <c r="P136" s="57">
        <f t="shared" si="100"/>
        <v>910925</v>
      </c>
      <c r="Q136" s="57">
        <f t="shared" si="100"/>
        <v>910925</v>
      </c>
      <c r="R136" s="57">
        <f t="shared" si="100"/>
        <v>910925</v>
      </c>
      <c r="S136" s="57">
        <f t="shared" si="100"/>
        <v>910925</v>
      </c>
      <c r="T136" s="57">
        <f t="shared" si="100"/>
        <v>910925</v>
      </c>
      <c r="U136" s="57">
        <f t="shared" si="100"/>
        <v>910925</v>
      </c>
      <c r="V136" s="57">
        <f t="shared" si="100"/>
        <v>910925</v>
      </c>
      <c r="W136" s="57">
        <f t="shared" si="100"/>
        <v>910925</v>
      </c>
      <c r="X136" s="57">
        <f t="shared" si="100"/>
        <v>910925</v>
      </c>
      <c r="Y136" s="57">
        <f t="shared" si="100"/>
        <v>910925</v>
      </c>
      <c r="Z136" s="57">
        <f t="shared" si="100"/>
        <v>910925</v>
      </c>
      <c r="AA136" s="57">
        <f t="shared" si="100"/>
        <v>910925</v>
      </c>
      <c r="AB136" s="57">
        <f t="shared" si="100"/>
        <v>910925</v>
      </c>
      <c r="AC136" s="57">
        <f t="shared" si="100"/>
        <v>910925</v>
      </c>
      <c r="AD136" s="57">
        <f t="shared" si="100"/>
        <v>910925</v>
      </c>
      <c r="AE136" s="57">
        <f t="shared" si="100"/>
        <v>910925</v>
      </c>
      <c r="AF136" s="57">
        <f t="shared" si="100"/>
        <v>910925</v>
      </c>
      <c r="AG136" s="57">
        <f t="shared" si="100"/>
        <v>910925</v>
      </c>
      <c r="AH136" s="57">
        <f t="shared" si="100"/>
        <v>910925</v>
      </c>
      <c r="AI136" s="57">
        <f t="shared" si="100"/>
        <v>910925</v>
      </c>
    </row>
    <row r="137" spans="1:35" x14ac:dyDescent="0.2">
      <c r="A137" s="69"/>
      <c r="B137" s="70"/>
      <c r="C137" s="71"/>
      <c r="D137" s="72">
        <f>SUM(D129:D136)</f>
        <v>0</v>
      </c>
      <c r="E137" s="74"/>
      <c r="F137" s="73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:35" ht="15.75" x14ac:dyDescent="0.2">
      <c r="B138" s="233" t="s">
        <v>330</v>
      </c>
      <c r="C138" s="71"/>
      <c r="D138" s="268"/>
      <c r="E138" s="93"/>
      <c r="F138" s="267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</row>
    <row r="139" spans="1:35" s="51" customFormat="1" ht="13.5" x14ac:dyDescent="0.25">
      <c r="B139" s="20" t="s">
        <v>20</v>
      </c>
      <c r="C139" s="52"/>
      <c r="D139" s="18">
        <f t="shared" ref="D139:AI139" si="101">D119</f>
        <v>2013</v>
      </c>
      <c r="E139" s="18">
        <f t="shared" si="101"/>
        <v>2014</v>
      </c>
      <c r="F139" s="18">
        <f t="shared" si="101"/>
        <v>2015</v>
      </c>
      <c r="G139" s="18">
        <f t="shared" si="101"/>
        <v>2016</v>
      </c>
      <c r="H139" s="18">
        <f t="shared" si="101"/>
        <v>2017</v>
      </c>
      <c r="I139" s="18">
        <f t="shared" si="101"/>
        <v>2018</v>
      </c>
      <c r="J139" s="18">
        <f t="shared" si="101"/>
        <v>2019</v>
      </c>
      <c r="K139" s="18">
        <f t="shared" si="101"/>
        <v>2020</v>
      </c>
      <c r="L139" s="18">
        <f t="shared" si="101"/>
        <v>2021</v>
      </c>
      <c r="M139" s="18">
        <f t="shared" si="101"/>
        <v>2022</v>
      </c>
      <c r="N139" s="18">
        <f t="shared" si="101"/>
        <v>2023</v>
      </c>
      <c r="O139" s="18">
        <f t="shared" si="101"/>
        <v>2024</v>
      </c>
      <c r="P139" s="18">
        <f t="shared" si="101"/>
        <v>2025</v>
      </c>
      <c r="Q139" s="18">
        <f t="shared" si="101"/>
        <v>2026</v>
      </c>
      <c r="R139" s="18">
        <f t="shared" si="101"/>
        <v>2027</v>
      </c>
      <c r="S139" s="18">
        <f t="shared" si="101"/>
        <v>2028</v>
      </c>
      <c r="T139" s="18">
        <f t="shared" si="101"/>
        <v>2029</v>
      </c>
      <c r="U139" s="18">
        <f t="shared" si="101"/>
        <v>2030</v>
      </c>
      <c r="V139" s="18">
        <f t="shared" si="101"/>
        <v>2031</v>
      </c>
      <c r="W139" s="18">
        <f t="shared" si="101"/>
        <v>2032</v>
      </c>
      <c r="X139" s="18">
        <f t="shared" si="101"/>
        <v>2033</v>
      </c>
      <c r="Y139" s="18">
        <f t="shared" si="101"/>
        <v>2034</v>
      </c>
      <c r="Z139" s="18">
        <f t="shared" si="101"/>
        <v>2035</v>
      </c>
      <c r="AA139" s="18">
        <f t="shared" si="101"/>
        <v>2036</v>
      </c>
      <c r="AB139" s="18">
        <f t="shared" si="101"/>
        <v>2037</v>
      </c>
      <c r="AC139" s="18">
        <f t="shared" si="101"/>
        <v>2038</v>
      </c>
      <c r="AD139" s="18">
        <f t="shared" si="101"/>
        <v>2039</v>
      </c>
      <c r="AE139" s="18">
        <f t="shared" si="101"/>
        <v>2040</v>
      </c>
      <c r="AF139" s="18">
        <f t="shared" si="101"/>
        <v>2041</v>
      </c>
      <c r="AG139" s="18">
        <f t="shared" si="101"/>
        <v>2042</v>
      </c>
      <c r="AH139" s="18">
        <f t="shared" si="101"/>
        <v>2043</v>
      </c>
      <c r="AI139" s="18">
        <f t="shared" si="101"/>
        <v>2044</v>
      </c>
    </row>
    <row r="140" spans="1:35" s="1" customFormat="1" ht="13.5" x14ac:dyDescent="0.25">
      <c r="A140" s="51"/>
      <c r="B140" s="13" t="s">
        <v>328</v>
      </c>
      <c r="C140" s="7" t="s">
        <v>9</v>
      </c>
      <c r="D140" s="56">
        <v>0</v>
      </c>
      <c r="E140" s="56">
        <f t="shared" ref="E140:K140" si="102">D140</f>
        <v>0</v>
      </c>
      <c r="F140" s="56">
        <f t="shared" si="102"/>
        <v>0</v>
      </c>
      <c r="G140" s="56">
        <f t="shared" si="102"/>
        <v>0</v>
      </c>
      <c r="H140" s="56">
        <f t="shared" si="102"/>
        <v>0</v>
      </c>
      <c r="I140" s="56">
        <f t="shared" si="102"/>
        <v>0</v>
      </c>
      <c r="J140" s="56">
        <f t="shared" si="102"/>
        <v>0</v>
      </c>
      <c r="K140" s="56">
        <f t="shared" si="102"/>
        <v>0</v>
      </c>
      <c r="L140" s="56">
        <f>K140+10800</f>
        <v>10800</v>
      </c>
      <c r="M140" s="56">
        <f t="shared" ref="M140:AI140" si="103">L140</f>
        <v>10800</v>
      </c>
      <c r="N140" s="56">
        <f t="shared" si="103"/>
        <v>10800</v>
      </c>
      <c r="O140" s="56">
        <f t="shared" si="103"/>
        <v>10800</v>
      </c>
      <c r="P140" s="56">
        <f t="shared" si="103"/>
        <v>10800</v>
      </c>
      <c r="Q140" s="56">
        <f t="shared" si="103"/>
        <v>10800</v>
      </c>
      <c r="R140" s="56">
        <f t="shared" si="103"/>
        <v>10800</v>
      </c>
      <c r="S140" s="56">
        <f t="shared" si="103"/>
        <v>10800</v>
      </c>
      <c r="T140" s="56">
        <f t="shared" si="103"/>
        <v>10800</v>
      </c>
      <c r="U140" s="56">
        <f t="shared" si="103"/>
        <v>10800</v>
      </c>
      <c r="V140" s="56">
        <f t="shared" si="103"/>
        <v>10800</v>
      </c>
      <c r="W140" s="56">
        <f t="shared" si="103"/>
        <v>10800</v>
      </c>
      <c r="X140" s="56">
        <f t="shared" si="103"/>
        <v>10800</v>
      </c>
      <c r="Y140" s="56">
        <f t="shared" si="103"/>
        <v>10800</v>
      </c>
      <c r="Z140" s="56">
        <f t="shared" si="103"/>
        <v>10800</v>
      </c>
      <c r="AA140" s="56">
        <f t="shared" si="103"/>
        <v>10800</v>
      </c>
      <c r="AB140" s="56">
        <f t="shared" si="103"/>
        <v>10800</v>
      </c>
      <c r="AC140" s="56">
        <f t="shared" si="103"/>
        <v>10800</v>
      </c>
      <c r="AD140" s="56">
        <f t="shared" si="103"/>
        <v>10800</v>
      </c>
      <c r="AE140" s="56">
        <f t="shared" si="103"/>
        <v>10800</v>
      </c>
      <c r="AF140" s="56">
        <f t="shared" si="103"/>
        <v>10800</v>
      </c>
      <c r="AG140" s="56">
        <f t="shared" si="103"/>
        <v>10800</v>
      </c>
      <c r="AH140" s="56">
        <f t="shared" si="103"/>
        <v>10800</v>
      </c>
      <c r="AI140" s="56">
        <f t="shared" si="103"/>
        <v>10800</v>
      </c>
    </row>
    <row r="141" spans="1:35" s="1" customFormat="1" ht="23.25" customHeight="1" x14ac:dyDescent="0.25">
      <c r="A141" s="51"/>
      <c r="B141" s="16" t="s">
        <v>272</v>
      </c>
      <c r="C141" s="7" t="s">
        <v>21</v>
      </c>
      <c r="D141" s="444">
        <f t="shared" ref="D141:AI141" si="104">D92</f>
        <v>8.5499999999999993E-2</v>
      </c>
      <c r="E141" s="444">
        <f t="shared" si="104"/>
        <v>8.5499999999999993E-2</v>
      </c>
      <c r="F141" s="445">
        <f t="shared" si="104"/>
        <v>8.5499999999999993E-2</v>
      </c>
      <c r="G141" s="444">
        <f t="shared" si="104"/>
        <v>8.5499999999999993E-2</v>
      </c>
      <c r="H141" s="444">
        <f t="shared" si="104"/>
        <v>8.5499999999999993E-2</v>
      </c>
      <c r="I141" s="444">
        <f t="shared" si="104"/>
        <v>8.5499999999999993E-2</v>
      </c>
      <c r="J141" s="444">
        <f t="shared" si="104"/>
        <v>8.5499999999999993E-2</v>
      </c>
      <c r="K141" s="444">
        <f t="shared" si="104"/>
        <v>8.5499999999999993E-2</v>
      </c>
      <c r="L141" s="444">
        <f t="shared" si="104"/>
        <v>8.5499999999999993E-2</v>
      </c>
      <c r="M141" s="444">
        <f t="shared" si="104"/>
        <v>8.5499999999999993E-2</v>
      </c>
      <c r="N141" s="444">
        <f t="shared" si="104"/>
        <v>8.5499999999999993E-2</v>
      </c>
      <c r="O141" s="444">
        <f t="shared" si="104"/>
        <v>8.5499999999999993E-2</v>
      </c>
      <c r="P141" s="444">
        <f t="shared" si="104"/>
        <v>8.5499999999999993E-2</v>
      </c>
      <c r="Q141" s="444">
        <f t="shared" si="104"/>
        <v>8.5499999999999993E-2</v>
      </c>
      <c r="R141" s="444">
        <f t="shared" si="104"/>
        <v>8.5499999999999993E-2</v>
      </c>
      <c r="S141" s="444">
        <f t="shared" si="104"/>
        <v>8.5499999999999993E-2</v>
      </c>
      <c r="T141" s="444">
        <f t="shared" si="104"/>
        <v>8.5499999999999993E-2</v>
      </c>
      <c r="U141" s="444">
        <f t="shared" si="104"/>
        <v>8.5499999999999993E-2</v>
      </c>
      <c r="V141" s="444">
        <f t="shared" si="104"/>
        <v>8.5499999999999993E-2</v>
      </c>
      <c r="W141" s="444">
        <f t="shared" si="104"/>
        <v>8.5499999999999993E-2</v>
      </c>
      <c r="X141" s="444">
        <f t="shared" si="104"/>
        <v>8.5499999999999993E-2</v>
      </c>
      <c r="Y141" s="444">
        <f t="shared" si="104"/>
        <v>8.5499999999999993E-2</v>
      </c>
      <c r="Z141" s="444">
        <f t="shared" si="104"/>
        <v>8.5499999999999993E-2</v>
      </c>
      <c r="AA141" s="444">
        <f t="shared" si="104"/>
        <v>8.5499999999999993E-2</v>
      </c>
      <c r="AB141" s="444">
        <f t="shared" si="104"/>
        <v>8.5499999999999993E-2</v>
      </c>
      <c r="AC141" s="444">
        <f t="shared" si="104"/>
        <v>8.5499999999999993E-2</v>
      </c>
      <c r="AD141" s="444">
        <f t="shared" si="104"/>
        <v>8.5499999999999993E-2</v>
      </c>
      <c r="AE141" s="444">
        <f t="shared" si="104"/>
        <v>8.5499999999999993E-2</v>
      </c>
      <c r="AF141" s="444">
        <f t="shared" si="104"/>
        <v>8.5499999999999993E-2</v>
      </c>
      <c r="AG141" s="444">
        <f t="shared" si="104"/>
        <v>8.5499999999999993E-2</v>
      </c>
      <c r="AH141" s="444">
        <f t="shared" si="104"/>
        <v>8.5499999999999993E-2</v>
      </c>
      <c r="AI141" s="444">
        <f t="shared" si="104"/>
        <v>8.5499999999999993E-2</v>
      </c>
    </row>
    <row r="142" spans="1:35" s="51" customFormat="1" ht="13.5" x14ac:dyDescent="0.25">
      <c r="B142" s="59" t="s">
        <v>264</v>
      </c>
      <c r="C142" s="7" t="s">
        <v>10</v>
      </c>
      <c r="D142" s="57">
        <f t="shared" ref="D142:AI142" si="105">D93</f>
        <v>5.38</v>
      </c>
      <c r="E142" s="57">
        <f t="shared" si="105"/>
        <v>5.38</v>
      </c>
      <c r="F142" s="58">
        <f t="shared" si="105"/>
        <v>5.38</v>
      </c>
      <c r="G142" s="57">
        <f t="shared" si="105"/>
        <v>5.38</v>
      </c>
      <c r="H142" s="57">
        <f t="shared" si="105"/>
        <v>5.38</v>
      </c>
      <c r="I142" s="57">
        <f t="shared" si="105"/>
        <v>5.38</v>
      </c>
      <c r="J142" s="57">
        <f t="shared" si="105"/>
        <v>5.38</v>
      </c>
      <c r="K142" s="57">
        <f t="shared" si="105"/>
        <v>5.38</v>
      </c>
      <c r="L142" s="57">
        <f t="shared" si="105"/>
        <v>5.38</v>
      </c>
      <c r="M142" s="57">
        <f t="shared" si="105"/>
        <v>5.38</v>
      </c>
      <c r="N142" s="57">
        <f t="shared" si="105"/>
        <v>5.38</v>
      </c>
      <c r="O142" s="57">
        <f t="shared" si="105"/>
        <v>5.38</v>
      </c>
      <c r="P142" s="57">
        <f t="shared" si="105"/>
        <v>5.38</v>
      </c>
      <c r="Q142" s="57">
        <f t="shared" si="105"/>
        <v>5.38</v>
      </c>
      <c r="R142" s="57">
        <f t="shared" si="105"/>
        <v>5.38</v>
      </c>
      <c r="S142" s="57">
        <f t="shared" si="105"/>
        <v>5.38</v>
      </c>
      <c r="T142" s="57">
        <f t="shared" si="105"/>
        <v>5.38</v>
      </c>
      <c r="U142" s="57">
        <f t="shared" si="105"/>
        <v>5.38</v>
      </c>
      <c r="V142" s="57">
        <f t="shared" si="105"/>
        <v>5.38</v>
      </c>
      <c r="W142" s="57">
        <f t="shared" si="105"/>
        <v>5.38</v>
      </c>
      <c r="X142" s="57">
        <f t="shared" si="105"/>
        <v>5.38</v>
      </c>
      <c r="Y142" s="57">
        <f t="shared" si="105"/>
        <v>5.38</v>
      </c>
      <c r="Z142" s="57">
        <f t="shared" si="105"/>
        <v>5.38</v>
      </c>
      <c r="AA142" s="57">
        <f t="shared" si="105"/>
        <v>5.38</v>
      </c>
      <c r="AB142" s="57">
        <f t="shared" si="105"/>
        <v>5.38</v>
      </c>
      <c r="AC142" s="57">
        <f t="shared" si="105"/>
        <v>5.38</v>
      </c>
      <c r="AD142" s="57">
        <f t="shared" si="105"/>
        <v>5.38</v>
      </c>
      <c r="AE142" s="57">
        <f t="shared" si="105"/>
        <v>5.38</v>
      </c>
      <c r="AF142" s="57">
        <f t="shared" si="105"/>
        <v>5.38</v>
      </c>
      <c r="AG142" s="57">
        <f t="shared" si="105"/>
        <v>5.38</v>
      </c>
      <c r="AH142" s="57">
        <f t="shared" si="105"/>
        <v>5.38</v>
      </c>
      <c r="AI142" s="57">
        <f t="shared" si="105"/>
        <v>5.38</v>
      </c>
    </row>
    <row r="143" spans="1:35" s="1" customFormat="1" ht="27" x14ac:dyDescent="0.25">
      <c r="A143" s="51"/>
      <c r="B143" s="13" t="s">
        <v>275</v>
      </c>
      <c r="C143" s="7" t="s">
        <v>12</v>
      </c>
      <c r="D143" s="56">
        <v>0</v>
      </c>
      <c r="E143" s="56">
        <f t="shared" ref="E143:K143" si="106">D143</f>
        <v>0</v>
      </c>
      <c r="F143" s="56">
        <f t="shared" si="106"/>
        <v>0</v>
      </c>
      <c r="G143" s="56">
        <f t="shared" si="106"/>
        <v>0</v>
      </c>
      <c r="H143" s="56">
        <f t="shared" si="106"/>
        <v>0</v>
      </c>
      <c r="I143" s="56">
        <f t="shared" si="106"/>
        <v>0</v>
      </c>
      <c r="J143" s="56">
        <f t="shared" si="106"/>
        <v>0</v>
      </c>
      <c r="K143" s="56">
        <f t="shared" si="106"/>
        <v>0</v>
      </c>
      <c r="L143" s="56">
        <f>K143+10</f>
        <v>10</v>
      </c>
      <c r="M143" s="56">
        <f t="shared" ref="M143:AI143" si="107">L143</f>
        <v>10</v>
      </c>
      <c r="N143" s="56">
        <f t="shared" si="107"/>
        <v>10</v>
      </c>
      <c r="O143" s="56">
        <f t="shared" si="107"/>
        <v>10</v>
      </c>
      <c r="P143" s="56">
        <f t="shared" si="107"/>
        <v>10</v>
      </c>
      <c r="Q143" s="56">
        <f t="shared" si="107"/>
        <v>10</v>
      </c>
      <c r="R143" s="56">
        <f t="shared" si="107"/>
        <v>10</v>
      </c>
      <c r="S143" s="56">
        <f t="shared" si="107"/>
        <v>10</v>
      </c>
      <c r="T143" s="56">
        <f t="shared" si="107"/>
        <v>10</v>
      </c>
      <c r="U143" s="56">
        <f t="shared" si="107"/>
        <v>10</v>
      </c>
      <c r="V143" s="56">
        <f t="shared" si="107"/>
        <v>10</v>
      </c>
      <c r="W143" s="56">
        <f t="shared" si="107"/>
        <v>10</v>
      </c>
      <c r="X143" s="56">
        <f t="shared" si="107"/>
        <v>10</v>
      </c>
      <c r="Y143" s="56">
        <f t="shared" si="107"/>
        <v>10</v>
      </c>
      <c r="Z143" s="56">
        <f t="shared" si="107"/>
        <v>10</v>
      </c>
      <c r="AA143" s="56">
        <f t="shared" si="107"/>
        <v>10</v>
      </c>
      <c r="AB143" s="56">
        <f t="shared" si="107"/>
        <v>10</v>
      </c>
      <c r="AC143" s="56">
        <f t="shared" si="107"/>
        <v>10</v>
      </c>
      <c r="AD143" s="56">
        <f t="shared" si="107"/>
        <v>10</v>
      </c>
      <c r="AE143" s="56">
        <f t="shared" si="107"/>
        <v>10</v>
      </c>
      <c r="AF143" s="56">
        <f t="shared" si="107"/>
        <v>10</v>
      </c>
      <c r="AG143" s="56">
        <f t="shared" si="107"/>
        <v>10</v>
      </c>
      <c r="AH143" s="56">
        <f t="shared" si="107"/>
        <v>10</v>
      </c>
      <c r="AI143" s="56">
        <f t="shared" si="107"/>
        <v>10</v>
      </c>
    </row>
    <row r="144" spans="1:35" s="1" customFormat="1" ht="13.5" x14ac:dyDescent="0.25">
      <c r="A144" s="51"/>
      <c r="B144" s="13" t="s">
        <v>271</v>
      </c>
      <c r="C144" s="7" t="s">
        <v>13</v>
      </c>
      <c r="D144" s="444">
        <f t="shared" ref="D144:AI144" si="108">D95</f>
        <v>0.8</v>
      </c>
      <c r="E144" s="444">
        <f t="shared" si="108"/>
        <v>0.8</v>
      </c>
      <c r="F144" s="445">
        <f t="shared" si="108"/>
        <v>0.8</v>
      </c>
      <c r="G144" s="444">
        <f t="shared" si="108"/>
        <v>0.8</v>
      </c>
      <c r="H144" s="444">
        <f t="shared" si="108"/>
        <v>0.8</v>
      </c>
      <c r="I144" s="444">
        <f t="shared" si="108"/>
        <v>0.8</v>
      </c>
      <c r="J144" s="444">
        <f t="shared" si="108"/>
        <v>0.8</v>
      </c>
      <c r="K144" s="444">
        <f t="shared" si="108"/>
        <v>0.8</v>
      </c>
      <c r="L144" s="444">
        <f t="shared" si="108"/>
        <v>0.8</v>
      </c>
      <c r="M144" s="444">
        <f t="shared" si="108"/>
        <v>0.8</v>
      </c>
      <c r="N144" s="444">
        <f t="shared" si="108"/>
        <v>0.8</v>
      </c>
      <c r="O144" s="444">
        <f t="shared" si="108"/>
        <v>0.8</v>
      </c>
      <c r="P144" s="444">
        <f t="shared" si="108"/>
        <v>0.8</v>
      </c>
      <c r="Q144" s="444">
        <f t="shared" si="108"/>
        <v>0.8</v>
      </c>
      <c r="R144" s="444">
        <f t="shared" si="108"/>
        <v>0.8</v>
      </c>
      <c r="S144" s="444">
        <f t="shared" si="108"/>
        <v>0.8</v>
      </c>
      <c r="T144" s="444">
        <f t="shared" si="108"/>
        <v>0.8</v>
      </c>
      <c r="U144" s="444">
        <f t="shared" si="108"/>
        <v>0.8</v>
      </c>
      <c r="V144" s="444">
        <f t="shared" si="108"/>
        <v>0.8</v>
      </c>
      <c r="W144" s="444">
        <f t="shared" si="108"/>
        <v>0.8</v>
      </c>
      <c r="X144" s="444">
        <f t="shared" si="108"/>
        <v>0.8</v>
      </c>
      <c r="Y144" s="444">
        <f t="shared" si="108"/>
        <v>0.8</v>
      </c>
      <c r="Z144" s="444">
        <f t="shared" si="108"/>
        <v>0.8</v>
      </c>
      <c r="AA144" s="444">
        <f t="shared" si="108"/>
        <v>0.8</v>
      </c>
      <c r="AB144" s="444">
        <f t="shared" si="108"/>
        <v>0.8</v>
      </c>
      <c r="AC144" s="444">
        <f t="shared" si="108"/>
        <v>0.8</v>
      </c>
      <c r="AD144" s="444">
        <f t="shared" si="108"/>
        <v>0.8</v>
      </c>
      <c r="AE144" s="444">
        <f t="shared" si="108"/>
        <v>0.8</v>
      </c>
      <c r="AF144" s="444">
        <f t="shared" si="108"/>
        <v>0.8</v>
      </c>
      <c r="AG144" s="444">
        <f t="shared" si="108"/>
        <v>0.8</v>
      </c>
      <c r="AH144" s="444">
        <f t="shared" si="108"/>
        <v>0.8</v>
      </c>
      <c r="AI144" s="444">
        <f t="shared" si="108"/>
        <v>0.8</v>
      </c>
    </row>
    <row r="145" spans="1:35" s="1" customFormat="1" ht="27" x14ac:dyDescent="0.25">
      <c r="A145" s="51"/>
      <c r="B145" s="13" t="s">
        <v>276</v>
      </c>
      <c r="C145" s="7" t="s">
        <v>12</v>
      </c>
      <c r="D145" s="56">
        <v>0</v>
      </c>
      <c r="E145" s="56">
        <f t="shared" ref="E145:K145" si="109">D145</f>
        <v>0</v>
      </c>
      <c r="F145" s="56">
        <f t="shared" si="109"/>
        <v>0</v>
      </c>
      <c r="G145" s="56">
        <f t="shared" si="109"/>
        <v>0</v>
      </c>
      <c r="H145" s="56">
        <f t="shared" si="109"/>
        <v>0</v>
      </c>
      <c r="I145" s="56">
        <f t="shared" si="109"/>
        <v>0</v>
      </c>
      <c r="J145" s="56">
        <f t="shared" si="109"/>
        <v>0</v>
      </c>
      <c r="K145" s="56">
        <f t="shared" si="109"/>
        <v>0</v>
      </c>
      <c r="L145" s="56">
        <f>K145+1200</f>
        <v>1200</v>
      </c>
      <c r="M145" s="56">
        <f t="shared" ref="M145:AI145" si="110">L145</f>
        <v>1200</v>
      </c>
      <c r="N145" s="56">
        <f t="shared" si="110"/>
        <v>1200</v>
      </c>
      <c r="O145" s="56">
        <f t="shared" si="110"/>
        <v>1200</v>
      </c>
      <c r="P145" s="56">
        <f t="shared" si="110"/>
        <v>1200</v>
      </c>
      <c r="Q145" s="56">
        <f t="shared" si="110"/>
        <v>1200</v>
      </c>
      <c r="R145" s="56">
        <f t="shared" si="110"/>
        <v>1200</v>
      </c>
      <c r="S145" s="56">
        <f t="shared" si="110"/>
        <v>1200</v>
      </c>
      <c r="T145" s="56">
        <f t="shared" si="110"/>
        <v>1200</v>
      </c>
      <c r="U145" s="56">
        <f t="shared" si="110"/>
        <v>1200</v>
      </c>
      <c r="V145" s="56">
        <f t="shared" si="110"/>
        <v>1200</v>
      </c>
      <c r="W145" s="56">
        <f t="shared" si="110"/>
        <v>1200</v>
      </c>
      <c r="X145" s="56">
        <f t="shared" si="110"/>
        <v>1200</v>
      </c>
      <c r="Y145" s="56">
        <f t="shared" si="110"/>
        <v>1200</v>
      </c>
      <c r="Z145" s="56">
        <f t="shared" si="110"/>
        <v>1200</v>
      </c>
      <c r="AA145" s="56">
        <f t="shared" si="110"/>
        <v>1200</v>
      </c>
      <c r="AB145" s="56">
        <f t="shared" si="110"/>
        <v>1200</v>
      </c>
      <c r="AC145" s="56">
        <f t="shared" si="110"/>
        <v>1200</v>
      </c>
      <c r="AD145" s="56">
        <f t="shared" si="110"/>
        <v>1200</v>
      </c>
      <c r="AE145" s="56">
        <f t="shared" si="110"/>
        <v>1200</v>
      </c>
      <c r="AF145" s="56">
        <f t="shared" si="110"/>
        <v>1200</v>
      </c>
      <c r="AG145" s="56">
        <f t="shared" si="110"/>
        <v>1200</v>
      </c>
      <c r="AH145" s="56">
        <f t="shared" si="110"/>
        <v>1200</v>
      </c>
      <c r="AI145" s="56">
        <f t="shared" si="110"/>
        <v>1200</v>
      </c>
    </row>
    <row r="146" spans="1:35" s="1" customFormat="1" ht="27" x14ac:dyDescent="0.25">
      <c r="A146" s="51"/>
      <c r="B146" s="13" t="s">
        <v>273</v>
      </c>
      <c r="C146" s="7" t="s">
        <v>13</v>
      </c>
      <c r="D146" s="444">
        <f t="shared" ref="D146:AI146" si="111">D97</f>
        <v>0.17</v>
      </c>
      <c r="E146" s="444">
        <f t="shared" si="111"/>
        <v>0.17</v>
      </c>
      <c r="F146" s="445">
        <f t="shared" si="111"/>
        <v>0.17</v>
      </c>
      <c r="G146" s="444">
        <f t="shared" si="111"/>
        <v>0.17</v>
      </c>
      <c r="H146" s="444">
        <f t="shared" si="111"/>
        <v>0.17</v>
      </c>
      <c r="I146" s="444">
        <f t="shared" si="111"/>
        <v>0.17</v>
      </c>
      <c r="J146" s="444">
        <f t="shared" si="111"/>
        <v>0.17</v>
      </c>
      <c r="K146" s="444">
        <f t="shared" si="111"/>
        <v>0.17</v>
      </c>
      <c r="L146" s="444">
        <f t="shared" si="111"/>
        <v>0.17</v>
      </c>
      <c r="M146" s="444">
        <f t="shared" si="111"/>
        <v>0.17</v>
      </c>
      <c r="N146" s="444">
        <f t="shared" si="111"/>
        <v>0.17</v>
      </c>
      <c r="O146" s="444">
        <f t="shared" si="111"/>
        <v>0.17</v>
      </c>
      <c r="P146" s="444">
        <f t="shared" si="111"/>
        <v>0.17</v>
      </c>
      <c r="Q146" s="444">
        <f t="shared" si="111"/>
        <v>0.17</v>
      </c>
      <c r="R146" s="444">
        <f t="shared" si="111"/>
        <v>0.17</v>
      </c>
      <c r="S146" s="444">
        <f t="shared" si="111"/>
        <v>0.17</v>
      </c>
      <c r="T146" s="444">
        <f t="shared" si="111"/>
        <v>0.17</v>
      </c>
      <c r="U146" s="444">
        <f t="shared" si="111"/>
        <v>0.17</v>
      </c>
      <c r="V146" s="444">
        <f t="shared" si="111"/>
        <v>0.17</v>
      </c>
      <c r="W146" s="444">
        <f t="shared" si="111"/>
        <v>0.17</v>
      </c>
      <c r="X146" s="444">
        <f t="shared" si="111"/>
        <v>0.17</v>
      </c>
      <c r="Y146" s="444">
        <f t="shared" si="111"/>
        <v>0.17</v>
      </c>
      <c r="Z146" s="444">
        <f t="shared" si="111"/>
        <v>0.17</v>
      </c>
      <c r="AA146" s="444">
        <f t="shared" si="111"/>
        <v>0.17</v>
      </c>
      <c r="AB146" s="444">
        <f t="shared" si="111"/>
        <v>0.17</v>
      </c>
      <c r="AC146" s="444">
        <f t="shared" si="111"/>
        <v>0.17</v>
      </c>
      <c r="AD146" s="444">
        <f t="shared" si="111"/>
        <v>0.17</v>
      </c>
      <c r="AE146" s="444">
        <f t="shared" si="111"/>
        <v>0.17</v>
      </c>
      <c r="AF146" s="444">
        <f t="shared" si="111"/>
        <v>0.17</v>
      </c>
      <c r="AG146" s="444">
        <f t="shared" si="111"/>
        <v>0.17</v>
      </c>
      <c r="AH146" s="444">
        <f t="shared" si="111"/>
        <v>0.17</v>
      </c>
      <c r="AI146" s="444">
        <f t="shared" si="111"/>
        <v>0.17</v>
      </c>
    </row>
    <row r="147" spans="1:35" s="1" customFormat="1" ht="13.5" x14ac:dyDescent="0.25">
      <c r="A147" s="51"/>
      <c r="B147" s="20" t="s">
        <v>14</v>
      </c>
      <c r="C147" s="7"/>
      <c r="D147" s="57"/>
      <c r="E147" s="57"/>
      <c r="F147" s="58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</row>
    <row r="148" spans="1:35" s="1" customFormat="1" ht="13.5" x14ac:dyDescent="0.25">
      <c r="A148" s="51"/>
      <c r="B148" s="60" t="str">
        <f>B102</f>
        <v>Zużycie materiałów</v>
      </c>
      <c r="C148" s="7"/>
      <c r="D148" s="57"/>
      <c r="E148" s="57"/>
      <c r="F148" s="58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</row>
    <row r="149" spans="1:35" s="51" customFormat="1" ht="13.5" x14ac:dyDescent="0.25">
      <c r="A149" s="51">
        <v>1</v>
      </c>
      <c r="B149" s="61" t="s">
        <v>145</v>
      </c>
      <c r="C149" s="7" t="s">
        <v>16</v>
      </c>
      <c r="D149" s="57">
        <f t="shared" ref="D149:AI149" si="112">D100-D51</f>
        <v>0</v>
      </c>
      <c r="E149" s="57">
        <f t="shared" si="112"/>
        <v>0</v>
      </c>
      <c r="F149" s="57">
        <f t="shared" si="112"/>
        <v>0</v>
      </c>
      <c r="G149" s="57">
        <f t="shared" si="112"/>
        <v>0</v>
      </c>
      <c r="H149" s="57">
        <f t="shared" si="112"/>
        <v>0</v>
      </c>
      <c r="I149" s="57">
        <f t="shared" si="112"/>
        <v>0</v>
      </c>
      <c r="J149" s="57">
        <f t="shared" si="112"/>
        <v>2910000</v>
      </c>
      <c r="K149" s="57">
        <f t="shared" si="112"/>
        <v>2910000</v>
      </c>
      <c r="L149" s="57">
        <f t="shared" si="112"/>
        <v>7411052.4499999993</v>
      </c>
      <c r="M149" s="57">
        <f t="shared" si="112"/>
        <v>7411052.4499999993</v>
      </c>
      <c r="N149" s="57">
        <f t="shared" si="112"/>
        <v>7411052.4499999993</v>
      </c>
      <c r="O149" s="57">
        <f t="shared" si="112"/>
        <v>7411052.4499999993</v>
      </c>
      <c r="P149" s="57">
        <f t="shared" si="112"/>
        <v>7411052.4499999993</v>
      </c>
      <c r="Q149" s="57">
        <f t="shared" si="112"/>
        <v>7411052.4499999993</v>
      </c>
      <c r="R149" s="57">
        <f t="shared" si="112"/>
        <v>7411052.4499999993</v>
      </c>
      <c r="S149" s="57">
        <f t="shared" si="112"/>
        <v>7411052.4499999993</v>
      </c>
      <c r="T149" s="57">
        <f t="shared" si="112"/>
        <v>7411052.4499999993</v>
      </c>
      <c r="U149" s="57">
        <f t="shared" si="112"/>
        <v>7411052.4499999993</v>
      </c>
      <c r="V149" s="57">
        <f t="shared" si="112"/>
        <v>7685376.3224999979</v>
      </c>
      <c r="W149" s="57">
        <f t="shared" si="112"/>
        <v>7685376.3224999979</v>
      </c>
      <c r="X149" s="57">
        <f t="shared" si="112"/>
        <v>7685376.3224999979</v>
      </c>
      <c r="Y149" s="57">
        <f t="shared" si="112"/>
        <v>7685376.3224999979</v>
      </c>
      <c r="Z149" s="57">
        <f t="shared" si="112"/>
        <v>6715376.3224999979</v>
      </c>
      <c r="AA149" s="57">
        <f t="shared" si="112"/>
        <v>5049700.1950000003</v>
      </c>
      <c r="AB149" s="57">
        <f t="shared" si="112"/>
        <v>7569700.1950000003</v>
      </c>
      <c r="AC149" s="57">
        <f t="shared" si="112"/>
        <v>7569700.1950000003</v>
      </c>
      <c r="AD149" s="57">
        <f t="shared" si="112"/>
        <v>7569700.1950000003</v>
      </c>
      <c r="AE149" s="57">
        <f t="shared" si="112"/>
        <v>7569700.1950000003</v>
      </c>
      <c r="AF149" s="57">
        <f t="shared" si="112"/>
        <v>7844024.067499999</v>
      </c>
      <c r="AG149" s="57">
        <f t="shared" si="112"/>
        <v>7844024.067499999</v>
      </c>
      <c r="AH149" s="57">
        <f t="shared" si="112"/>
        <v>7844024.067499999</v>
      </c>
      <c r="AI149" s="57">
        <f t="shared" si="112"/>
        <v>7844024.067499999</v>
      </c>
    </row>
    <row r="150" spans="1:35" s="51" customFormat="1" ht="13.5" x14ac:dyDescent="0.25">
      <c r="A150" s="51">
        <v>2</v>
      </c>
      <c r="B150" s="61" t="s">
        <v>295</v>
      </c>
      <c r="C150" s="7" t="s">
        <v>16</v>
      </c>
      <c r="D150" s="57">
        <f t="shared" ref="D150:AI150" si="113">D101-D52</f>
        <v>0</v>
      </c>
      <c r="E150" s="57">
        <f t="shared" si="113"/>
        <v>0</v>
      </c>
      <c r="F150" s="57">
        <f t="shared" si="113"/>
        <v>0</v>
      </c>
      <c r="G150" s="57">
        <f t="shared" si="113"/>
        <v>1848000</v>
      </c>
      <c r="H150" s="57">
        <f t="shared" si="113"/>
        <v>1848000</v>
      </c>
      <c r="I150" s="57">
        <f t="shared" si="113"/>
        <v>1848000</v>
      </c>
      <c r="J150" s="57">
        <f t="shared" si="113"/>
        <v>1848000</v>
      </c>
      <c r="K150" s="57">
        <f t="shared" si="113"/>
        <v>1848000</v>
      </c>
      <c r="L150" s="57">
        <f t="shared" si="113"/>
        <v>1848000</v>
      </c>
      <c r="M150" s="57">
        <f t="shared" si="113"/>
        <v>1848000</v>
      </c>
      <c r="N150" s="57">
        <f t="shared" si="113"/>
        <v>1848000</v>
      </c>
      <c r="O150" s="57">
        <f t="shared" si="113"/>
        <v>1848000</v>
      </c>
      <c r="P150" s="57">
        <f t="shared" si="113"/>
        <v>1848000</v>
      </c>
      <c r="Q150" s="57">
        <f t="shared" si="113"/>
        <v>1848000</v>
      </c>
      <c r="R150" s="57">
        <f t="shared" si="113"/>
        <v>1848000</v>
      </c>
      <c r="S150" s="57">
        <f t="shared" si="113"/>
        <v>1848000</v>
      </c>
      <c r="T150" s="57">
        <f t="shared" si="113"/>
        <v>1848000</v>
      </c>
      <c r="U150" s="57">
        <f t="shared" si="113"/>
        <v>1848000</v>
      </c>
      <c r="V150" s="57">
        <f t="shared" si="113"/>
        <v>1848000</v>
      </c>
      <c r="W150" s="57">
        <f t="shared" si="113"/>
        <v>1848000</v>
      </c>
      <c r="X150" s="57">
        <f t="shared" si="113"/>
        <v>1848000</v>
      </c>
      <c r="Y150" s="57">
        <f t="shared" si="113"/>
        <v>1848000</v>
      </c>
      <c r="Z150" s="57">
        <f t="shared" si="113"/>
        <v>1848000</v>
      </c>
      <c r="AA150" s="57">
        <f t="shared" si="113"/>
        <v>1848000</v>
      </c>
      <c r="AB150" s="57">
        <f t="shared" si="113"/>
        <v>1848000</v>
      </c>
      <c r="AC150" s="57">
        <f t="shared" si="113"/>
        <v>1848000</v>
      </c>
      <c r="AD150" s="57">
        <f t="shared" si="113"/>
        <v>1848000</v>
      </c>
      <c r="AE150" s="57">
        <f t="shared" si="113"/>
        <v>1848000</v>
      </c>
      <c r="AF150" s="57">
        <f t="shared" si="113"/>
        <v>1848000</v>
      </c>
      <c r="AG150" s="57">
        <f t="shared" si="113"/>
        <v>1848000</v>
      </c>
      <c r="AH150" s="57">
        <f t="shared" si="113"/>
        <v>1848000</v>
      </c>
      <c r="AI150" s="57">
        <f t="shared" si="113"/>
        <v>1848000</v>
      </c>
    </row>
    <row r="151" spans="1:35" s="51" customFormat="1" ht="13.5" x14ac:dyDescent="0.25">
      <c r="A151" s="51">
        <v>3</v>
      </c>
      <c r="B151" s="61" t="s">
        <v>296</v>
      </c>
      <c r="C151" s="7" t="s">
        <v>16</v>
      </c>
      <c r="D151" s="57">
        <f t="shared" ref="D151:AI151" si="114">D102-D53</f>
        <v>0</v>
      </c>
      <c r="E151" s="57">
        <f t="shared" si="114"/>
        <v>0</v>
      </c>
      <c r="F151" s="57">
        <f t="shared" si="114"/>
        <v>0</v>
      </c>
      <c r="G151" s="57">
        <f t="shared" si="114"/>
        <v>0</v>
      </c>
      <c r="H151" s="57">
        <f t="shared" si="114"/>
        <v>0</v>
      </c>
      <c r="I151" s="57">
        <f t="shared" si="114"/>
        <v>0</v>
      </c>
      <c r="J151" s="57">
        <f t="shared" si="114"/>
        <v>0</v>
      </c>
      <c r="K151" s="57">
        <f t="shared" si="114"/>
        <v>0</v>
      </c>
      <c r="L151" s="57">
        <f t="shared" si="114"/>
        <v>397039</v>
      </c>
      <c r="M151" s="57">
        <f t="shared" si="114"/>
        <v>397039</v>
      </c>
      <c r="N151" s="57">
        <f t="shared" si="114"/>
        <v>397039</v>
      </c>
      <c r="O151" s="57">
        <f t="shared" si="114"/>
        <v>397039</v>
      </c>
      <c r="P151" s="57">
        <f t="shared" si="114"/>
        <v>397039</v>
      </c>
      <c r="Q151" s="57">
        <f t="shared" si="114"/>
        <v>397039</v>
      </c>
      <c r="R151" s="57">
        <f t="shared" si="114"/>
        <v>397039</v>
      </c>
      <c r="S151" s="57">
        <f t="shared" si="114"/>
        <v>397039</v>
      </c>
      <c r="T151" s="57">
        <f t="shared" si="114"/>
        <v>397039</v>
      </c>
      <c r="U151" s="57">
        <f t="shared" si="114"/>
        <v>397039</v>
      </c>
      <c r="V151" s="57">
        <f t="shared" si="114"/>
        <v>397039</v>
      </c>
      <c r="W151" s="57">
        <f t="shared" si="114"/>
        <v>397039</v>
      </c>
      <c r="X151" s="57">
        <f t="shared" si="114"/>
        <v>397039</v>
      </c>
      <c r="Y151" s="57">
        <f t="shared" si="114"/>
        <v>397039</v>
      </c>
      <c r="Z151" s="57">
        <f t="shared" si="114"/>
        <v>397039</v>
      </c>
      <c r="AA151" s="57">
        <f t="shared" si="114"/>
        <v>397039</v>
      </c>
      <c r="AB151" s="57">
        <f t="shared" si="114"/>
        <v>397039</v>
      </c>
      <c r="AC151" s="57">
        <f t="shared" si="114"/>
        <v>397039</v>
      </c>
      <c r="AD151" s="57">
        <f t="shared" si="114"/>
        <v>397039</v>
      </c>
      <c r="AE151" s="57">
        <f t="shared" si="114"/>
        <v>397039</v>
      </c>
      <c r="AF151" s="57">
        <f t="shared" si="114"/>
        <v>397039</v>
      </c>
      <c r="AG151" s="57">
        <f t="shared" si="114"/>
        <v>397039</v>
      </c>
      <c r="AH151" s="57">
        <f t="shared" si="114"/>
        <v>397039</v>
      </c>
      <c r="AI151" s="57">
        <f t="shared" si="114"/>
        <v>397039</v>
      </c>
    </row>
    <row r="152" spans="1:35" s="51" customFormat="1" ht="13.5" x14ac:dyDescent="0.25">
      <c r="A152" s="51">
        <v>4</v>
      </c>
      <c r="B152" s="62" t="s">
        <v>294</v>
      </c>
      <c r="C152" s="7" t="s">
        <v>16</v>
      </c>
      <c r="D152" s="57">
        <f t="shared" ref="D152:AI152" si="115">D103-D54</f>
        <v>0</v>
      </c>
      <c r="E152" s="57">
        <f t="shared" si="115"/>
        <v>0</v>
      </c>
      <c r="F152" s="57">
        <f t="shared" si="115"/>
        <v>0</v>
      </c>
      <c r="G152" s="57">
        <f t="shared" si="115"/>
        <v>0</v>
      </c>
      <c r="H152" s="57">
        <f t="shared" si="115"/>
        <v>6556</v>
      </c>
      <c r="I152" s="57">
        <f t="shared" si="115"/>
        <v>18316</v>
      </c>
      <c r="J152" s="57">
        <f t="shared" si="115"/>
        <v>18316</v>
      </c>
      <c r="K152" s="57">
        <f t="shared" si="115"/>
        <v>18316</v>
      </c>
      <c r="L152" s="57">
        <f t="shared" si="115"/>
        <v>812394</v>
      </c>
      <c r="M152" s="57">
        <f t="shared" si="115"/>
        <v>812394</v>
      </c>
      <c r="N152" s="57">
        <f t="shared" si="115"/>
        <v>812394</v>
      </c>
      <c r="O152" s="57">
        <f t="shared" si="115"/>
        <v>812394</v>
      </c>
      <c r="P152" s="57">
        <f t="shared" si="115"/>
        <v>812394</v>
      </c>
      <c r="Q152" s="57">
        <f t="shared" si="115"/>
        <v>812394</v>
      </c>
      <c r="R152" s="57">
        <f t="shared" si="115"/>
        <v>812394</v>
      </c>
      <c r="S152" s="57">
        <f t="shared" si="115"/>
        <v>812394</v>
      </c>
      <c r="T152" s="57">
        <f t="shared" si="115"/>
        <v>812394</v>
      </c>
      <c r="U152" s="57">
        <f t="shared" si="115"/>
        <v>812394</v>
      </c>
      <c r="V152" s="57">
        <f t="shared" si="115"/>
        <v>812394</v>
      </c>
      <c r="W152" s="57">
        <f t="shared" si="115"/>
        <v>812394</v>
      </c>
      <c r="X152" s="57">
        <f t="shared" si="115"/>
        <v>812394</v>
      </c>
      <c r="Y152" s="57">
        <f t="shared" si="115"/>
        <v>812394</v>
      </c>
      <c r="Z152" s="57">
        <f t="shared" si="115"/>
        <v>812394</v>
      </c>
      <c r="AA152" s="57">
        <f t="shared" si="115"/>
        <v>812394</v>
      </c>
      <c r="AB152" s="57">
        <f t="shared" si="115"/>
        <v>812394</v>
      </c>
      <c r="AC152" s="57">
        <f t="shared" si="115"/>
        <v>812394</v>
      </c>
      <c r="AD152" s="57">
        <f t="shared" si="115"/>
        <v>812394</v>
      </c>
      <c r="AE152" s="57">
        <f t="shared" si="115"/>
        <v>812394</v>
      </c>
      <c r="AF152" s="57">
        <f t="shared" si="115"/>
        <v>812394</v>
      </c>
      <c r="AG152" s="57">
        <f t="shared" si="115"/>
        <v>812394</v>
      </c>
      <c r="AH152" s="57">
        <f t="shared" si="115"/>
        <v>812394</v>
      </c>
      <c r="AI152" s="57">
        <f t="shared" si="115"/>
        <v>812394</v>
      </c>
    </row>
    <row r="153" spans="1:35" s="51" customFormat="1" ht="13.5" x14ac:dyDescent="0.25">
      <c r="A153" s="51">
        <v>5</v>
      </c>
      <c r="B153" s="62" t="s">
        <v>18</v>
      </c>
      <c r="C153" s="7" t="s">
        <v>16</v>
      </c>
      <c r="D153" s="57">
        <f t="shared" ref="D153:AI153" si="116">D104-D55</f>
        <v>0</v>
      </c>
      <c r="E153" s="57">
        <f t="shared" si="116"/>
        <v>0</v>
      </c>
      <c r="F153" s="57">
        <f t="shared" si="116"/>
        <v>0</v>
      </c>
      <c r="G153" s="57">
        <f t="shared" si="116"/>
        <v>0</v>
      </c>
      <c r="H153" s="57">
        <f t="shared" si="116"/>
        <v>0</v>
      </c>
      <c r="I153" s="57">
        <f t="shared" si="116"/>
        <v>0</v>
      </c>
      <c r="J153" s="57">
        <f t="shared" si="116"/>
        <v>0</v>
      </c>
      <c r="K153" s="57">
        <f t="shared" si="116"/>
        <v>3600842</v>
      </c>
      <c r="L153" s="57">
        <f t="shared" si="116"/>
        <v>3600842</v>
      </c>
      <c r="M153" s="57">
        <f t="shared" si="116"/>
        <v>3600842</v>
      </c>
      <c r="N153" s="57">
        <f t="shared" si="116"/>
        <v>3600842</v>
      </c>
      <c r="O153" s="57">
        <f t="shared" si="116"/>
        <v>3600842</v>
      </c>
      <c r="P153" s="57">
        <f t="shared" si="116"/>
        <v>3600842</v>
      </c>
      <c r="Q153" s="57">
        <f t="shared" si="116"/>
        <v>3600842</v>
      </c>
      <c r="R153" s="57">
        <f t="shared" si="116"/>
        <v>3600842</v>
      </c>
      <c r="S153" s="57">
        <f t="shared" si="116"/>
        <v>3600842</v>
      </c>
      <c r="T153" s="57">
        <f t="shared" si="116"/>
        <v>3600842</v>
      </c>
      <c r="U153" s="57">
        <f t="shared" si="116"/>
        <v>3600842</v>
      </c>
      <c r="V153" s="57">
        <f t="shared" si="116"/>
        <v>3600842</v>
      </c>
      <c r="W153" s="57">
        <f t="shared" si="116"/>
        <v>3600842</v>
      </c>
      <c r="X153" s="57">
        <f t="shared" si="116"/>
        <v>3600842</v>
      </c>
      <c r="Y153" s="57">
        <f t="shared" si="116"/>
        <v>3600842</v>
      </c>
      <c r="Z153" s="57">
        <f t="shared" si="116"/>
        <v>3600842</v>
      </c>
      <c r="AA153" s="57">
        <f t="shared" si="116"/>
        <v>3600842</v>
      </c>
      <c r="AB153" s="57">
        <f t="shared" si="116"/>
        <v>3600842</v>
      </c>
      <c r="AC153" s="57">
        <f t="shared" si="116"/>
        <v>3600842</v>
      </c>
      <c r="AD153" s="57">
        <f t="shared" si="116"/>
        <v>3600842</v>
      </c>
      <c r="AE153" s="57">
        <f t="shared" si="116"/>
        <v>3600842</v>
      </c>
      <c r="AF153" s="57">
        <f t="shared" si="116"/>
        <v>3600842</v>
      </c>
      <c r="AG153" s="57">
        <f t="shared" si="116"/>
        <v>3600842</v>
      </c>
      <c r="AH153" s="57">
        <f t="shared" si="116"/>
        <v>3600842</v>
      </c>
      <c r="AI153" s="57">
        <f t="shared" si="116"/>
        <v>3600842</v>
      </c>
    </row>
    <row r="154" spans="1:35" s="51" customFormat="1" ht="13.5" x14ac:dyDescent="0.25">
      <c r="A154" s="51">
        <v>6</v>
      </c>
      <c r="B154" s="62" t="s">
        <v>17</v>
      </c>
      <c r="C154" s="7" t="s">
        <v>16</v>
      </c>
      <c r="D154" s="57">
        <f t="shared" ref="D154:AI154" si="117">D105-D56</f>
        <v>0</v>
      </c>
      <c r="E154" s="57">
        <f t="shared" si="117"/>
        <v>0</v>
      </c>
      <c r="F154" s="57">
        <f t="shared" si="117"/>
        <v>0</v>
      </c>
      <c r="G154" s="57">
        <f t="shared" si="117"/>
        <v>0</v>
      </c>
      <c r="H154" s="57">
        <f t="shared" si="117"/>
        <v>0</v>
      </c>
      <c r="I154" s="57">
        <f t="shared" si="117"/>
        <v>102760</v>
      </c>
      <c r="J154" s="57">
        <f t="shared" si="117"/>
        <v>102760</v>
      </c>
      <c r="K154" s="57">
        <f t="shared" si="117"/>
        <v>102760</v>
      </c>
      <c r="L154" s="57">
        <f t="shared" si="117"/>
        <v>1690915</v>
      </c>
      <c r="M154" s="57">
        <f t="shared" si="117"/>
        <v>1690915</v>
      </c>
      <c r="N154" s="57">
        <f t="shared" si="117"/>
        <v>1690915</v>
      </c>
      <c r="O154" s="57">
        <f t="shared" si="117"/>
        <v>1690915</v>
      </c>
      <c r="P154" s="57">
        <f t="shared" si="117"/>
        <v>1690915</v>
      </c>
      <c r="Q154" s="57">
        <f t="shared" si="117"/>
        <v>1690915</v>
      </c>
      <c r="R154" s="57">
        <f t="shared" si="117"/>
        <v>1690915</v>
      </c>
      <c r="S154" s="57">
        <f t="shared" si="117"/>
        <v>1690915</v>
      </c>
      <c r="T154" s="57">
        <f t="shared" si="117"/>
        <v>1690915</v>
      </c>
      <c r="U154" s="57">
        <f t="shared" si="117"/>
        <v>1690915</v>
      </c>
      <c r="V154" s="57">
        <f t="shared" si="117"/>
        <v>1690915</v>
      </c>
      <c r="W154" s="57">
        <f t="shared" si="117"/>
        <v>1690915</v>
      </c>
      <c r="X154" s="57">
        <f t="shared" si="117"/>
        <v>1690915</v>
      </c>
      <c r="Y154" s="57">
        <f t="shared" si="117"/>
        <v>1690915</v>
      </c>
      <c r="Z154" s="57">
        <f t="shared" si="117"/>
        <v>1690915</v>
      </c>
      <c r="AA154" s="57">
        <f t="shared" si="117"/>
        <v>1690915</v>
      </c>
      <c r="AB154" s="57">
        <f t="shared" si="117"/>
        <v>1690915</v>
      </c>
      <c r="AC154" s="57">
        <f t="shared" si="117"/>
        <v>1690915</v>
      </c>
      <c r="AD154" s="57">
        <f t="shared" si="117"/>
        <v>1690915</v>
      </c>
      <c r="AE154" s="57">
        <f t="shared" si="117"/>
        <v>1690915</v>
      </c>
      <c r="AF154" s="57">
        <f t="shared" si="117"/>
        <v>1690915</v>
      </c>
      <c r="AG154" s="57">
        <f t="shared" si="117"/>
        <v>1690915</v>
      </c>
      <c r="AH154" s="57">
        <f t="shared" si="117"/>
        <v>1690915</v>
      </c>
      <c r="AI154" s="57">
        <f t="shared" si="117"/>
        <v>1690915</v>
      </c>
    </row>
    <row r="155" spans="1:35" s="51" customFormat="1" ht="13.5" x14ac:dyDescent="0.25">
      <c r="A155" s="51">
        <v>7</v>
      </c>
      <c r="B155" s="62" t="s">
        <v>297</v>
      </c>
      <c r="C155" s="7" t="s">
        <v>16</v>
      </c>
      <c r="D155" s="57">
        <f t="shared" ref="D155:AI155" si="118">D106-D57</f>
        <v>0</v>
      </c>
      <c r="E155" s="57">
        <f t="shared" si="118"/>
        <v>0</v>
      </c>
      <c r="F155" s="57">
        <f t="shared" si="118"/>
        <v>0</v>
      </c>
      <c r="G155" s="57">
        <f t="shared" si="118"/>
        <v>0</v>
      </c>
      <c r="H155" s="57">
        <f t="shared" si="118"/>
        <v>0</v>
      </c>
      <c r="I155" s="57">
        <f t="shared" si="118"/>
        <v>0</v>
      </c>
      <c r="J155" s="57">
        <f t="shared" si="118"/>
        <v>0</v>
      </c>
      <c r="K155" s="57">
        <f t="shared" si="118"/>
        <v>0</v>
      </c>
      <c r="L155" s="57">
        <f t="shared" si="118"/>
        <v>94533</v>
      </c>
      <c r="M155" s="57">
        <f t="shared" si="118"/>
        <v>94533</v>
      </c>
      <c r="N155" s="57">
        <f t="shared" si="118"/>
        <v>94533</v>
      </c>
      <c r="O155" s="57">
        <f t="shared" si="118"/>
        <v>94533</v>
      </c>
      <c r="P155" s="57">
        <f t="shared" si="118"/>
        <v>94533</v>
      </c>
      <c r="Q155" s="57">
        <f t="shared" si="118"/>
        <v>94533</v>
      </c>
      <c r="R155" s="57">
        <f t="shared" si="118"/>
        <v>94533</v>
      </c>
      <c r="S155" s="57">
        <f t="shared" si="118"/>
        <v>94533</v>
      </c>
      <c r="T155" s="57">
        <f t="shared" si="118"/>
        <v>94533</v>
      </c>
      <c r="U155" s="57">
        <f t="shared" si="118"/>
        <v>94533</v>
      </c>
      <c r="V155" s="57">
        <f t="shared" si="118"/>
        <v>94533</v>
      </c>
      <c r="W155" s="57">
        <f t="shared" si="118"/>
        <v>94533</v>
      </c>
      <c r="X155" s="57">
        <f t="shared" si="118"/>
        <v>94533</v>
      </c>
      <c r="Y155" s="57">
        <f t="shared" si="118"/>
        <v>94533</v>
      </c>
      <c r="Z155" s="57">
        <f t="shared" si="118"/>
        <v>94533</v>
      </c>
      <c r="AA155" s="57">
        <f t="shared" si="118"/>
        <v>94533</v>
      </c>
      <c r="AB155" s="57">
        <f t="shared" si="118"/>
        <v>94533</v>
      </c>
      <c r="AC155" s="57">
        <f t="shared" si="118"/>
        <v>94533</v>
      </c>
      <c r="AD155" s="57">
        <f t="shared" si="118"/>
        <v>94533</v>
      </c>
      <c r="AE155" s="57">
        <f t="shared" si="118"/>
        <v>94533</v>
      </c>
      <c r="AF155" s="57">
        <f t="shared" si="118"/>
        <v>94533</v>
      </c>
      <c r="AG155" s="57">
        <f t="shared" si="118"/>
        <v>94533</v>
      </c>
      <c r="AH155" s="57">
        <f t="shared" si="118"/>
        <v>94533</v>
      </c>
      <c r="AI155" s="57">
        <f t="shared" si="118"/>
        <v>94533</v>
      </c>
    </row>
    <row r="156" spans="1:35" s="51" customFormat="1" ht="12" customHeight="1" thickBot="1" x14ac:dyDescent="0.3">
      <c r="A156" s="51">
        <v>8</v>
      </c>
      <c r="B156" s="63" t="s">
        <v>298</v>
      </c>
      <c r="C156" s="7" t="s">
        <v>16</v>
      </c>
      <c r="D156" s="57">
        <f t="shared" ref="D156:AI156" si="119">D107-D58</f>
        <v>0</v>
      </c>
      <c r="E156" s="57">
        <f t="shared" si="119"/>
        <v>0</v>
      </c>
      <c r="F156" s="57">
        <f t="shared" si="119"/>
        <v>0</v>
      </c>
      <c r="G156" s="57">
        <f t="shared" si="119"/>
        <v>0</v>
      </c>
      <c r="H156" s="57">
        <f t="shared" si="119"/>
        <v>0</v>
      </c>
      <c r="I156" s="57">
        <f t="shared" si="119"/>
        <v>0</v>
      </c>
      <c r="J156" s="57">
        <f t="shared" si="119"/>
        <v>0</v>
      </c>
      <c r="K156" s="57">
        <f t="shared" si="119"/>
        <v>0</v>
      </c>
      <c r="L156" s="57">
        <f t="shared" si="119"/>
        <v>1153303</v>
      </c>
      <c r="M156" s="57">
        <f t="shared" si="119"/>
        <v>1153303</v>
      </c>
      <c r="N156" s="57">
        <f t="shared" si="119"/>
        <v>1153303</v>
      </c>
      <c r="O156" s="57">
        <f t="shared" si="119"/>
        <v>1153303</v>
      </c>
      <c r="P156" s="57">
        <f t="shared" si="119"/>
        <v>1153303</v>
      </c>
      <c r="Q156" s="57">
        <f t="shared" si="119"/>
        <v>1153303</v>
      </c>
      <c r="R156" s="57">
        <f t="shared" si="119"/>
        <v>1153303</v>
      </c>
      <c r="S156" s="57">
        <f t="shared" si="119"/>
        <v>1153303</v>
      </c>
      <c r="T156" s="57">
        <f t="shared" si="119"/>
        <v>1153303</v>
      </c>
      <c r="U156" s="57">
        <f t="shared" si="119"/>
        <v>1153303</v>
      </c>
      <c r="V156" s="57">
        <f t="shared" si="119"/>
        <v>1153303</v>
      </c>
      <c r="W156" s="57">
        <f t="shared" si="119"/>
        <v>1153303</v>
      </c>
      <c r="X156" s="57">
        <f t="shared" si="119"/>
        <v>1153303</v>
      </c>
      <c r="Y156" s="57">
        <f t="shared" si="119"/>
        <v>1153303</v>
      </c>
      <c r="Z156" s="57">
        <f t="shared" si="119"/>
        <v>1153303</v>
      </c>
      <c r="AA156" s="57">
        <f t="shared" si="119"/>
        <v>1153303</v>
      </c>
      <c r="AB156" s="57">
        <f t="shared" si="119"/>
        <v>1153303</v>
      </c>
      <c r="AC156" s="57">
        <f t="shared" si="119"/>
        <v>1153303</v>
      </c>
      <c r="AD156" s="57">
        <f t="shared" si="119"/>
        <v>1153303</v>
      </c>
      <c r="AE156" s="57">
        <f t="shared" si="119"/>
        <v>1153303</v>
      </c>
      <c r="AF156" s="57">
        <f t="shared" si="119"/>
        <v>1153303</v>
      </c>
      <c r="AG156" s="57">
        <f t="shared" si="119"/>
        <v>1153303</v>
      </c>
      <c r="AH156" s="57">
        <f t="shared" si="119"/>
        <v>1153303</v>
      </c>
      <c r="AI156" s="57">
        <f t="shared" si="119"/>
        <v>1153303</v>
      </c>
    </row>
    <row r="157" spans="1:35" x14ac:dyDescent="0.2">
      <c r="A157" s="69"/>
      <c r="B157" s="70"/>
      <c r="C157" s="71"/>
      <c r="D157" s="72">
        <f>SUM(D149:D156)</f>
        <v>0</v>
      </c>
      <c r="E157" s="74"/>
      <c r="F157" s="73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:35" ht="15.75" x14ac:dyDescent="0.2">
      <c r="B158" s="233" t="s">
        <v>331</v>
      </c>
      <c r="C158" s="71"/>
      <c r="D158" s="268"/>
      <c r="E158" s="93"/>
      <c r="F158" s="267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</row>
    <row r="159" spans="1:35" s="51" customFormat="1" ht="13.5" x14ac:dyDescent="0.25">
      <c r="B159" s="20"/>
      <c r="C159" s="52"/>
      <c r="D159" s="18">
        <f t="shared" ref="D159:AI159" si="120">D139</f>
        <v>2013</v>
      </c>
      <c r="E159" s="18">
        <f t="shared" si="120"/>
        <v>2014</v>
      </c>
      <c r="F159" s="18">
        <f t="shared" si="120"/>
        <v>2015</v>
      </c>
      <c r="G159" s="18">
        <f t="shared" si="120"/>
        <v>2016</v>
      </c>
      <c r="H159" s="18">
        <f t="shared" si="120"/>
        <v>2017</v>
      </c>
      <c r="I159" s="18">
        <f t="shared" si="120"/>
        <v>2018</v>
      </c>
      <c r="J159" s="18">
        <f t="shared" si="120"/>
        <v>2019</v>
      </c>
      <c r="K159" s="18">
        <f t="shared" si="120"/>
        <v>2020</v>
      </c>
      <c r="L159" s="18">
        <f t="shared" si="120"/>
        <v>2021</v>
      </c>
      <c r="M159" s="18">
        <f t="shared" si="120"/>
        <v>2022</v>
      </c>
      <c r="N159" s="18">
        <f t="shared" si="120"/>
        <v>2023</v>
      </c>
      <c r="O159" s="18">
        <f t="shared" si="120"/>
        <v>2024</v>
      </c>
      <c r="P159" s="18">
        <f t="shared" si="120"/>
        <v>2025</v>
      </c>
      <c r="Q159" s="18">
        <f t="shared" si="120"/>
        <v>2026</v>
      </c>
      <c r="R159" s="18">
        <f t="shared" si="120"/>
        <v>2027</v>
      </c>
      <c r="S159" s="18">
        <f t="shared" si="120"/>
        <v>2028</v>
      </c>
      <c r="T159" s="18">
        <f t="shared" si="120"/>
        <v>2029</v>
      </c>
      <c r="U159" s="18">
        <f t="shared" si="120"/>
        <v>2030</v>
      </c>
      <c r="V159" s="18">
        <f t="shared" si="120"/>
        <v>2031</v>
      </c>
      <c r="W159" s="18">
        <f t="shared" si="120"/>
        <v>2032</v>
      </c>
      <c r="X159" s="18">
        <f t="shared" si="120"/>
        <v>2033</v>
      </c>
      <c r="Y159" s="18">
        <f t="shared" si="120"/>
        <v>2034</v>
      </c>
      <c r="Z159" s="18">
        <f t="shared" si="120"/>
        <v>2035</v>
      </c>
      <c r="AA159" s="18">
        <f t="shared" si="120"/>
        <v>2036</v>
      </c>
      <c r="AB159" s="18">
        <f t="shared" si="120"/>
        <v>2037</v>
      </c>
      <c r="AC159" s="18">
        <f t="shared" si="120"/>
        <v>2038</v>
      </c>
      <c r="AD159" s="18">
        <f t="shared" si="120"/>
        <v>2039</v>
      </c>
      <c r="AE159" s="18">
        <f t="shared" si="120"/>
        <v>2040</v>
      </c>
      <c r="AF159" s="18">
        <f t="shared" si="120"/>
        <v>2041</v>
      </c>
      <c r="AG159" s="18">
        <f t="shared" si="120"/>
        <v>2042</v>
      </c>
      <c r="AH159" s="18">
        <f t="shared" si="120"/>
        <v>2043</v>
      </c>
      <c r="AI159" s="18">
        <f t="shared" si="120"/>
        <v>2044</v>
      </c>
    </row>
    <row r="160" spans="1:35" s="1" customFormat="1" ht="27" x14ac:dyDescent="0.25">
      <c r="B160" s="53" t="s">
        <v>299</v>
      </c>
      <c r="C160" s="7" t="s">
        <v>19</v>
      </c>
      <c r="D160" s="54">
        <f t="shared" ref="D160:AI160" si="121">ROUND(SUM(D31:D38)/((D22*D23*D24*365)+(D25*D26*365)+(D27*D28*365)),2)</f>
        <v>5.0999999999999996</v>
      </c>
      <c r="E160" s="54">
        <f t="shared" si="121"/>
        <v>5.12</v>
      </c>
      <c r="F160" s="55">
        <f t="shared" si="121"/>
        <v>5.17</v>
      </c>
      <c r="G160" s="54">
        <f t="shared" si="121"/>
        <v>5.17</v>
      </c>
      <c r="H160" s="54">
        <f t="shared" si="121"/>
        <v>5.17</v>
      </c>
      <c r="I160" s="54">
        <f t="shared" si="121"/>
        <v>5.17</v>
      </c>
      <c r="J160" s="54">
        <f t="shared" si="121"/>
        <v>5.17</v>
      </c>
      <c r="K160" s="54">
        <f t="shared" si="121"/>
        <v>5.17</v>
      </c>
      <c r="L160" s="54">
        <f t="shared" si="121"/>
        <v>5.17</v>
      </c>
      <c r="M160" s="54">
        <f t="shared" si="121"/>
        <v>5.17</v>
      </c>
      <c r="N160" s="54">
        <f t="shared" si="121"/>
        <v>5.17</v>
      </c>
      <c r="O160" s="54">
        <f t="shared" si="121"/>
        <v>5.17</v>
      </c>
      <c r="P160" s="54">
        <f t="shared" si="121"/>
        <v>5.17</v>
      </c>
      <c r="Q160" s="54">
        <f t="shared" si="121"/>
        <v>5.17</v>
      </c>
      <c r="R160" s="54">
        <f t="shared" si="121"/>
        <v>5.17</v>
      </c>
      <c r="S160" s="54">
        <f t="shared" si="121"/>
        <v>5.17</v>
      </c>
      <c r="T160" s="54">
        <f t="shared" si="121"/>
        <v>5.17</v>
      </c>
      <c r="U160" s="54">
        <f t="shared" si="121"/>
        <v>5.17</v>
      </c>
      <c r="V160" s="54">
        <f t="shared" si="121"/>
        <v>5.17</v>
      </c>
      <c r="W160" s="54">
        <f t="shared" si="121"/>
        <v>5.17</v>
      </c>
      <c r="X160" s="54">
        <f t="shared" si="121"/>
        <v>5.17</v>
      </c>
      <c r="Y160" s="54">
        <f t="shared" si="121"/>
        <v>5.17</v>
      </c>
      <c r="Z160" s="54">
        <f t="shared" si="121"/>
        <v>5.17</v>
      </c>
      <c r="AA160" s="54">
        <f t="shared" si="121"/>
        <v>5.17</v>
      </c>
      <c r="AB160" s="54">
        <f t="shared" si="121"/>
        <v>5.17</v>
      </c>
      <c r="AC160" s="54">
        <f t="shared" si="121"/>
        <v>5.17</v>
      </c>
      <c r="AD160" s="54">
        <f t="shared" si="121"/>
        <v>5.17</v>
      </c>
      <c r="AE160" s="54">
        <f t="shared" si="121"/>
        <v>5.17</v>
      </c>
      <c r="AF160" s="54">
        <f t="shared" si="121"/>
        <v>5.17</v>
      </c>
      <c r="AG160" s="54">
        <f t="shared" si="121"/>
        <v>5.17</v>
      </c>
      <c r="AH160" s="54">
        <f t="shared" si="121"/>
        <v>5.17</v>
      </c>
      <c r="AI160" s="54">
        <f t="shared" si="121"/>
        <v>5.17</v>
      </c>
    </row>
    <row r="161" spans="1:35" s="1" customFormat="1" ht="27" x14ac:dyDescent="0.25">
      <c r="B161" s="53" t="s">
        <v>300</v>
      </c>
      <c r="C161" s="7" t="s">
        <v>19</v>
      </c>
      <c r="D161" s="54">
        <f t="shared" ref="D161:AI161" si="122">ROUND(SUM(D71:D78)/((D62*D63*D64*365)+(D65*D66*365)+(D67*D68*365)),2)</f>
        <v>5.0999999999999996</v>
      </c>
      <c r="E161" s="54">
        <f t="shared" si="122"/>
        <v>5.12</v>
      </c>
      <c r="F161" s="55">
        <f t="shared" si="122"/>
        <v>5.17</v>
      </c>
      <c r="G161" s="54">
        <f t="shared" si="122"/>
        <v>5.19</v>
      </c>
      <c r="H161" s="54">
        <f t="shared" si="122"/>
        <v>5.19</v>
      </c>
      <c r="I161" s="54">
        <f t="shared" si="122"/>
        <v>5.19</v>
      </c>
      <c r="J161" s="54">
        <f t="shared" si="122"/>
        <v>5.19</v>
      </c>
      <c r="K161" s="54">
        <f t="shared" si="122"/>
        <v>5.19</v>
      </c>
      <c r="L161" s="54">
        <f t="shared" si="122"/>
        <v>5.54</v>
      </c>
      <c r="M161" s="54">
        <f t="shared" si="122"/>
        <v>5.54</v>
      </c>
      <c r="N161" s="54">
        <f t="shared" si="122"/>
        <v>5.54</v>
      </c>
      <c r="O161" s="54">
        <f t="shared" si="122"/>
        <v>5.54</v>
      </c>
      <c r="P161" s="54">
        <f t="shared" si="122"/>
        <v>5.54</v>
      </c>
      <c r="Q161" s="54">
        <f t="shared" si="122"/>
        <v>5.54</v>
      </c>
      <c r="R161" s="54">
        <f t="shared" si="122"/>
        <v>5.54</v>
      </c>
      <c r="S161" s="54">
        <f t="shared" si="122"/>
        <v>5.54</v>
      </c>
      <c r="T161" s="54">
        <f t="shared" si="122"/>
        <v>5.54</v>
      </c>
      <c r="U161" s="54">
        <f t="shared" si="122"/>
        <v>5.54</v>
      </c>
      <c r="V161" s="54">
        <f t="shared" si="122"/>
        <v>5.55</v>
      </c>
      <c r="W161" s="54">
        <f t="shared" si="122"/>
        <v>5.55</v>
      </c>
      <c r="X161" s="54">
        <f t="shared" si="122"/>
        <v>5.55</v>
      </c>
      <c r="Y161" s="54">
        <f t="shared" si="122"/>
        <v>5.55</v>
      </c>
      <c r="Z161" s="54">
        <f t="shared" si="122"/>
        <v>5.55</v>
      </c>
      <c r="AA161" s="54">
        <f t="shared" si="122"/>
        <v>5.57</v>
      </c>
      <c r="AB161" s="54">
        <f t="shared" si="122"/>
        <v>5.57</v>
      </c>
      <c r="AC161" s="54">
        <f t="shared" si="122"/>
        <v>5.57</v>
      </c>
      <c r="AD161" s="54">
        <f t="shared" si="122"/>
        <v>5.57</v>
      </c>
      <c r="AE161" s="54">
        <f t="shared" si="122"/>
        <v>5.57</v>
      </c>
      <c r="AF161" s="54">
        <f t="shared" si="122"/>
        <v>5.59</v>
      </c>
      <c r="AG161" s="54">
        <f t="shared" si="122"/>
        <v>5.59</v>
      </c>
      <c r="AH161" s="54">
        <f t="shared" si="122"/>
        <v>5.59</v>
      </c>
      <c r="AI161" s="54">
        <f t="shared" si="122"/>
        <v>5.59</v>
      </c>
    </row>
    <row r="162" spans="1:35" x14ac:dyDescent="0.2">
      <c r="A162" s="69"/>
      <c r="B162" s="70"/>
      <c r="C162" s="71"/>
      <c r="D162" s="72"/>
      <c r="E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:35" ht="15.75" x14ac:dyDescent="0.2">
      <c r="B163" s="233" t="s">
        <v>332</v>
      </c>
      <c r="C163" s="71"/>
      <c r="D163" s="268"/>
      <c r="E163" s="93"/>
      <c r="F163" s="267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</row>
    <row r="164" spans="1:35" s="51" customFormat="1" ht="13.5" x14ac:dyDescent="0.25">
      <c r="B164" s="20"/>
      <c r="C164" s="52"/>
      <c r="D164" s="18">
        <f>D159</f>
        <v>2013</v>
      </c>
      <c r="E164" s="18">
        <f t="shared" ref="E164:AI164" si="123">E159</f>
        <v>2014</v>
      </c>
      <c r="F164" s="18">
        <f t="shared" si="123"/>
        <v>2015</v>
      </c>
      <c r="G164" s="18">
        <f t="shared" si="123"/>
        <v>2016</v>
      </c>
      <c r="H164" s="18">
        <f t="shared" si="123"/>
        <v>2017</v>
      </c>
      <c r="I164" s="18">
        <f t="shared" si="123"/>
        <v>2018</v>
      </c>
      <c r="J164" s="18">
        <f t="shared" si="123"/>
        <v>2019</v>
      </c>
      <c r="K164" s="18">
        <f t="shared" si="123"/>
        <v>2020</v>
      </c>
      <c r="L164" s="18">
        <f t="shared" si="123"/>
        <v>2021</v>
      </c>
      <c r="M164" s="18">
        <f t="shared" si="123"/>
        <v>2022</v>
      </c>
      <c r="N164" s="18">
        <f t="shared" si="123"/>
        <v>2023</v>
      </c>
      <c r="O164" s="18">
        <f t="shared" si="123"/>
        <v>2024</v>
      </c>
      <c r="P164" s="18">
        <f t="shared" si="123"/>
        <v>2025</v>
      </c>
      <c r="Q164" s="18">
        <f t="shared" si="123"/>
        <v>2026</v>
      </c>
      <c r="R164" s="18">
        <f t="shared" si="123"/>
        <v>2027</v>
      </c>
      <c r="S164" s="18">
        <f t="shared" si="123"/>
        <v>2028</v>
      </c>
      <c r="T164" s="18">
        <f t="shared" si="123"/>
        <v>2029</v>
      </c>
      <c r="U164" s="18">
        <f t="shared" si="123"/>
        <v>2030</v>
      </c>
      <c r="V164" s="18">
        <f t="shared" si="123"/>
        <v>2031</v>
      </c>
      <c r="W164" s="18">
        <f t="shared" si="123"/>
        <v>2032</v>
      </c>
      <c r="X164" s="18">
        <f t="shared" si="123"/>
        <v>2033</v>
      </c>
      <c r="Y164" s="18">
        <f t="shared" si="123"/>
        <v>2034</v>
      </c>
      <c r="Z164" s="18">
        <f t="shared" si="123"/>
        <v>2035</v>
      </c>
      <c r="AA164" s="18">
        <f t="shared" si="123"/>
        <v>2036</v>
      </c>
      <c r="AB164" s="18">
        <f t="shared" si="123"/>
        <v>2037</v>
      </c>
      <c r="AC164" s="18">
        <f t="shared" si="123"/>
        <v>2038</v>
      </c>
      <c r="AD164" s="18">
        <f t="shared" si="123"/>
        <v>2039</v>
      </c>
      <c r="AE164" s="18">
        <f t="shared" si="123"/>
        <v>2040</v>
      </c>
      <c r="AF164" s="18">
        <f t="shared" si="123"/>
        <v>2041</v>
      </c>
      <c r="AG164" s="18">
        <f t="shared" si="123"/>
        <v>2042</v>
      </c>
      <c r="AH164" s="18">
        <f t="shared" si="123"/>
        <v>2043</v>
      </c>
      <c r="AI164" s="18">
        <f t="shared" si="123"/>
        <v>2044</v>
      </c>
    </row>
    <row r="165" spans="1:35" s="1" customFormat="1" ht="27" x14ac:dyDescent="0.25">
      <c r="B165" s="53" t="s">
        <v>324</v>
      </c>
      <c r="C165" s="7" t="s">
        <v>19</v>
      </c>
      <c r="D165" s="54">
        <f t="shared" ref="D165:AI165" si="124">ROUND(SUM(D51:D58)/((D42*D43*D44*365)+(D45*D46*365)+(D47*D48*365)),2)</f>
        <v>5.39</v>
      </c>
      <c r="E165" s="54">
        <f t="shared" si="124"/>
        <v>5.41</v>
      </c>
      <c r="F165" s="55">
        <f t="shared" si="124"/>
        <v>5.46</v>
      </c>
      <c r="G165" s="54">
        <f t="shared" si="124"/>
        <v>5.46</v>
      </c>
      <c r="H165" s="54">
        <f t="shared" si="124"/>
        <v>5.46</v>
      </c>
      <c r="I165" s="54">
        <f t="shared" si="124"/>
        <v>5.46</v>
      </c>
      <c r="J165" s="54">
        <f t="shared" si="124"/>
        <v>5.46</v>
      </c>
      <c r="K165" s="54">
        <f t="shared" si="124"/>
        <v>5.46</v>
      </c>
      <c r="L165" s="54">
        <f t="shared" si="124"/>
        <v>5.46</v>
      </c>
      <c r="M165" s="54">
        <f t="shared" si="124"/>
        <v>5.46</v>
      </c>
      <c r="N165" s="54">
        <f t="shared" si="124"/>
        <v>5.46</v>
      </c>
      <c r="O165" s="54">
        <f t="shared" si="124"/>
        <v>5.46</v>
      </c>
      <c r="P165" s="54">
        <f t="shared" si="124"/>
        <v>5.46</v>
      </c>
      <c r="Q165" s="54">
        <f t="shared" si="124"/>
        <v>5.46</v>
      </c>
      <c r="R165" s="54">
        <f t="shared" si="124"/>
        <v>5.46</v>
      </c>
      <c r="S165" s="54">
        <f t="shared" si="124"/>
        <v>5.46</v>
      </c>
      <c r="T165" s="54">
        <f t="shared" si="124"/>
        <v>5.46</v>
      </c>
      <c r="U165" s="54">
        <f t="shared" si="124"/>
        <v>5.46</v>
      </c>
      <c r="V165" s="54">
        <f t="shared" si="124"/>
        <v>5.46</v>
      </c>
      <c r="W165" s="54">
        <f t="shared" si="124"/>
        <v>5.46</v>
      </c>
      <c r="X165" s="54">
        <f t="shared" si="124"/>
        <v>5.46</v>
      </c>
      <c r="Y165" s="54">
        <f t="shared" si="124"/>
        <v>5.46</v>
      </c>
      <c r="Z165" s="54">
        <f t="shared" si="124"/>
        <v>5.46</v>
      </c>
      <c r="AA165" s="54">
        <f t="shared" si="124"/>
        <v>5.46</v>
      </c>
      <c r="AB165" s="54">
        <f t="shared" si="124"/>
        <v>5.46</v>
      </c>
      <c r="AC165" s="54">
        <f t="shared" si="124"/>
        <v>5.46</v>
      </c>
      <c r="AD165" s="54">
        <f t="shared" si="124"/>
        <v>5.46</v>
      </c>
      <c r="AE165" s="54">
        <f t="shared" si="124"/>
        <v>5.46</v>
      </c>
      <c r="AF165" s="54">
        <f t="shared" si="124"/>
        <v>5.46</v>
      </c>
      <c r="AG165" s="54">
        <f t="shared" si="124"/>
        <v>5.46</v>
      </c>
      <c r="AH165" s="54">
        <f t="shared" si="124"/>
        <v>5.46</v>
      </c>
      <c r="AI165" s="54">
        <f t="shared" si="124"/>
        <v>5.46</v>
      </c>
    </row>
    <row r="166" spans="1:35" s="1" customFormat="1" ht="27" x14ac:dyDescent="0.25">
      <c r="B166" s="53" t="s">
        <v>326</v>
      </c>
      <c r="C166" s="7" t="s">
        <v>19</v>
      </c>
      <c r="D166" s="54">
        <f t="shared" ref="D166:AI166" si="125">ROUND(SUM(D100:D107)/((D91*D92*D93*365)+(D94*D95*365)+(D96*D97*365)),2)</f>
        <v>5.39</v>
      </c>
      <c r="E166" s="54">
        <f t="shared" si="125"/>
        <v>5.41</v>
      </c>
      <c r="F166" s="55">
        <f t="shared" si="125"/>
        <v>5.46</v>
      </c>
      <c r="G166" s="54">
        <f t="shared" si="125"/>
        <v>5.62</v>
      </c>
      <c r="H166" s="54">
        <f t="shared" si="125"/>
        <v>5.62</v>
      </c>
      <c r="I166" s="54">
        <f t="shared" si="125"/>
        <v>5.63</v>
      </c>
      <c r="J166" s="54">
        <f t="shared" si="125"/>
        <v>5.87</v>
      </c>
      <c r="K166" s="54">
        <f t="shared" si="125"/>
        <v>6.18</v>
      </c>
      <c r="L166" s="54">
        <f t="shared" si="125"/>
        <v>5.95</v>
      </c>
      <c r="M166" s="54">
        <f t="shared" si="125"/>
        <v>5.95</v>
      </c>
      <c r="N166" s="54">
        <f t="shared" si="125"/>
        <v>5.95</v>
      </c>
      <c r="O166" s="54">
        <f t="shared" si="125"/>
        <v>5.95</v>
      </c>
      <c r="P166" s="54">
        <f t="shared" si="125"/>
        <v>5.95</v>
      </c>
      <c r="Q166" s="54">
        <f t="shared" si="125"/>
        <v>5.95</v>
      </c>
      <c r="R166" s="54">
        <f t="shared" si="125"/>
        <v>5.95</v>
      </c>
      <c r="S166" s="54">
        <f t="shared" si="125"/>
        <v>5.95</v>
      </c>
      <c r="T166" s="54">
        <f t="shared" si="125"/>
        <v>5.95</v>
      </c>
      <c r="U166" s="54">
        <f t="shared" si="125"/>
        <v>5.95</v>
      </c>
      <c r="V166" s="54">
        <f t="shared" si="125"/>
        <v>5.97</v>
      </c>
      <c r="W166" s="54">
        <f t="shared" si="125"/>
        <v>5.97</v>
      </c>
      <c r="X166" s="54">
        <f t="shared" si="125"/>
        <v>5.97</v>
      </c>
      <c r="Y166" s="54">
        <f t="shared" si="125"/>
        <v>5.97</v>
      </c>
      <c r="Z166" s="54">
        <f t="shared" si="125"/>
        <v>5.9</v>
      </c>
      <c r="AA166" s="54">
        <f t="shared" si="125"/>
        <v>5.78</v>
      </c>
      <c r="AB166" s="54">
        <f t="shared" si="125"/>
        <v>5.96</v>
      </c>
      <c r="AC166" s="54">
        <f t="shared" si="125"/>
        <v>5.96</v>
      </c>
      <c r="AD166" s="54">
        <f t="shared" si="125"/>
        <v>5.96</v>
      </c>
      <c r="AE166" s="54">
        <f t="shared" si="125"/>
        <v>5.96</v>
      </c>
      <c r="AF166" s="54">
        <f t="shared" si="125"/>
        <v>5.98</v>
      </c>
      <c r="AG166" s="54">
        <f t="shared" si="125"/>
        <v>5.98</v>
      </c>
      <c r="AH166" s="54">
        <f t="shared" si="125"/>
        <v>5.98</v>
      </c>
      <c r="AI166" s="54">
        <f t="shared" si="125"/>
        <v>5.98</v>
      </c>
    </row>
    <row r="168" spans="1:35" ht="16.5" thickBot="1" x14ac:dyDescent="0.25">
      <c r="B168" s="233" t="s">
        <v>313</v>
      </c>
      <c r="H168" s="97"/>
      <c r="I168" s="97"/>
      <c r="J168" s="97"/>
      <c r="K168" s="97"/>
      <c r="L168" s="97"/>
      <c r="M168" s="97"/>
    </row>
    <row r="169" spans="1:35" x14ac:dyDescent="0.2">
      <c r="B169" s="452" t="s">
        <v>283</v>
      </c>
      <c r="C169" s="452" t="s">
        <v>22</v>
      </c>
      <c r="D169" s="452">
        <v>2015</v>
      </c>
      <c r="E169" s="452">
        <v>2016</v>
      </c>
      <c r="F169" s="452">
        <v>2017</v>
      </c>
      <c r="G169" s="452">
        <v>2018</v>
      </c>
      <c r="H169" s="452">
        <v>2019</v>
      </c>
      <c r="I169" s="452">
        <v>2020</v>
      </c>
    </row>
    <row r="170" spans="1:35" ht="13.5" thickBot="1" x14ac:dyDescent="0.25">
      <c r="B170" s="453"/>
      <c r="C170" s="453"/>
      <c r="D170" s="453"/>
      <c r="E170" s="453"/>
      <c r="F170" s="453"/>
      <c r="G170" s="453"/>
      <c r="H170" s="453"/>
      <c r="I170" s="453"/>
    </row>
    <row r="171" spans="1:35" s="80" customFormat="1" ht="13.5" x14ac:dyDescent="0.25">
      <c r="A171" s="80">
        <v>1</v>
      </c>
      <c r="B171" s="25" t="s">
        <v>359</v>
      </c>
      <c r="C171" s="26">
        <f t="shared" ref="C171:C212" si="126">SUM(D171:I171)</f>
        <v>1000000</v>
      </c>
      <c r="D171" s="27">
        <v>250000</v>
      </c>
      <c r="E171" s="28">
        <v>750000</v>
      </c>
      <c r="F171" s="28"/>
      <c r="G171" s="28"/>
      <c r="H171" s="28"/>
      <c r="I171" s="28"/>
    </row>
    <row r="172" spans="1:35" s="84" customFormat="1" ht="18.75" customHeight="1" x14ac:dyDescent="0.25">
      <c r="B172" s="29" t="s">
        <v>23</v>
      </c>
      <c r="C172" s="30">
        <f t="shared" si="126"/>
        <v>230000</v>
      </c>
      <c r="D172" s="31">
        <f t="shared" ref="D172:I172" si="127">ROUND(D171*0.23,2)</f>
        <v>57500</v>
      </c>
      <c r="E172" s="31">
        <f t="shared" si="127"/>
        <v>172500</v>
      </c>
      <c r="F172" s="31">
        <f t="shared" si="127"/>
        <v>0</v>
      </c>
      <c r="G172" s="31">
        <f t="shared" si="127"/>
        <v>0</v>
      </c>
      <c r="H172" s="31">
        <f t="shared" si="127"/>
        <v>0</v>
      </c>
      <c r="I172" s="31">
        <f t="shared" si="127"/>
        <v>0</v>
      </c>
    </row>
    <row r="173" spans="1:35" s="80" customFormat="1" ht="13.5" x14ac:dyDescent="0.25">
      <c r="A173" s="80">
        <v>2</v>
      </c>
      <c r="B173" s="32" t="s">
        <v>360</v>
      </c>
      <c r="C173" s="33">
        <f>SUM(D173:I173)</f>
        <v>750000</v>
      </c>
      <c r="D173" s="34">
        <v>250000</v>
      </c>
      <c r="E173" s="35">
        <v>500000</v>
      </c>
      <c r="F173" s="35"/>
      <c r="G173" s="35"/>
      <c r="H173" s="35"/>
      <c r="I173" s="35"/>
    </row>
    <row r="174" spans="1:35" s="84" customFormat="1" ht="18.75" customHeight="1" x14ac:dyDescent="0.25">
      <c r="B174" s="29" t="s">
        <v>23</v>
      </c>
      <c r="C174" s="30">
        <f>SUM(D174:I174)</f>
        <v>172500</v>
      </c>
      <c r="D174" s="31">
        <f t="shared" ref="D174:I174" si="128">ROUND(D173*0.23,2)</f>
        <v>57500</v>
      </c>
      <c r="E174" s="31">
        <f t="shared" si="128"/>
        <v>115000</v>
      </c>
      <c r="F174" s="31">
        <f t="shared" si="128"/>
        <v>0</v>
      </c>
      <c r="G174" s="31">
        <f t="shared" si="128"/>
        <v>0</v>
      </c>
      <c r="H174" s="31">
        <f t="shared" si="128"/>
        <v>0</v>
      </c>
      <c r="I174" s="31">
        <f t="shared" si="128"/>
        <v>0</v>
      </c>
    </row>
    <row r="175" spans="1:35" s="80" customFormat="1" ht="13.5" x14ac:dyDescent="0.25">
      <c r="A175" s="80">
        <v>3</v>
      </c>
      <c r="B175" s="32" t="s">
        <v>445</v>
      </c>
      <c r="C175" s="33">
        <f t="shared" ref="C175" si="129">SUM(D175:I175)</f>
        <v>37430315</v>
      </c>
      <c r="D175" s="35">
        <v>7487400</v>
      </c>
      <c r="E175" s="34">
        <v>3000000</v>
      </c>
      <c r="F175" s="34">
        <v>3000000</v>
      </c>
      <c r="G175" s="34">
        <v>7563359</v>
      </c>
      <c r="H175" s="34">
        <v>8689778</v>
      </c>
      <c r="I175" s="34">
        <v>7689778</v>
      </c>
    </row>
    <row r="176" spans="1:35" s="84" customFormat="1" ht="13.5" x14ac:dyDescent="0.25">
      <c r="B176" s="29" t="s">
        <v>23</v>
      </c>
      <c r="C176" s="30">
        <f t="shared" ref="C176:C179" si="130">SUM(D176:I176)</f>
        <v>8608972.4499999993</v>
      </c>
      <c r="D176" s="31">
        <f t="shared" ref="D176:I176" si="131">ROUND(D175*0.23,2)</f>
        <v>1722102</v>
      </c>
      <c r="E176" s="36">
        <f t="shared" si="131"/>
        <v>690000</v>
      </c>
      <c r="F176" s="36">
        <f t="shared" si="131"/>
        <v>690000</v>
      </c>
      <c r="G176" s="36">
        <f t="shared" si="131"/>
        <v>1739572.57</v>
      </c>
      <c r="H176" s="36">
        <f t="shared" si="131"/>
        <v>1998648.94</v>
      </c>
      <c r="I176" s="36">
        <f t="shared" si="131"/>
        <v>1768648.94</v>
      </c>
    </row>
    <row r="177" spans="1:9" s="80" customFormat="1" ht="27" x14ac:dyDescent="0.25">
      <c r="A177" s="80">
        <v>4</v>
      </c>
      <c r="B177" s="32" t="s">
        <v>444</v>
      </c>
      <c r="C177" s="33">
        <f t="shared" ref="C177" si="132">SUM(D177:I177)</f>
        <v>500000</v>
      </c>
      <c r="D177" s="35">
        <v>0</v>
      </c>
      <c r="E177" s="34">
        <v>100000</v>
      </c>
      <c r="F177" s="34">
        <v>0</v>
      </c>
      <c r="G177" s="34">
        <v>100000</v>
      </c>
      <c r="H177" s="34">
        <v>200000</v>
      </c>
      <c r="I177" s="34">
        <v>100000</v>
      </c>
    </row>
    <row r="178" spans="1:9" s="84" customFormat="1" ht="13.5" x14ac:dyDescent="0.25">
      <c r="B178" s="29" t="s">
        <v>23</v>
      </c>
      <c r="C178" s="30">
        <f t="shared" ref="C178" si="133">SUM(D178:I178)</f>
        <v>115000</v>
      </c>
      <c r="D178" s="31">
        <f t="shared" ref="D178:I178" si="134">ROUND(D177*0.23,2)</f>
        <v>0</v>
      </c>
      <c r="E178" s="36">
        <f t="shared" si="134"/>
        <v>23000</v>
      </c>
      <c r="F178" s="36">
        <f t="shared" si="134"/>
        <v>0</v>
      </c>
      <c r="G178" s="36">
        <f t="shared" si="134"/>
        <v>23000</v>
      </c>
      <c r="H178" s="36">
        <f t="shared" si="134"/>
        <v>46000</v>
      </c>
      <c r="I178" s="36">
        <f t="shared" si="134"/>
        <v>23000</v>
      </c>
    </row>
    <row r="179" spans="1:9" s="80" customFormat="1" ht="40.5" x14ac:dyDescent="0.25">
      <c r="A179" s="80">
        <v>5</v>
      </c>
      <c r="B179" s="32" t="s">
        <v>430</v>
      </c>
      <c r="C179" s="33">
        <f t="shared" si="130"/>
        <v>9000000</v>
      </c>
      <c r="D179" s="35">
        <v>0</v>
      </c>
      <c r="E179" s="34">
        <v>2000000</v>
      </c>
      <c r="F179" s="34">
        <v>2000000</v>
      </c>
      <c r="G179" s="34">
        <v>2000000</v>
      </c>
      <c r="H179" s="34">
        <v>2000000</v>
      </c>
      <c r="I179" s="34">
        <v>1000000</v>
      </c>
    </row>
    <row r="180" spans="1:9" s="84" customFormat="1" ht="13.5" x14ac:dyDescent="0.25">
      <c r="B180" s="29" t="s">
        <v>23</v>
      </c>
      <c r="C180" s="30">
        <f t="shared" si="126"/>
        <v>2070000</v>
      </c>
      <c r="D180" s="31">
        <f t="shared" ref="D180:I180" si="135">ROUND(D179*0.23,2)</f>
        <v>0</v>
      </c>
      <c r="E180" s="36">
        <f t="shared" si="135"/>
        <v>460000</v>
      </c>
      <c r="F180" s="36">
        <f t="shared" si="135"/>
        <v>460000</v>
      </c>
      <c r="G180" s="36">
        <f t="shared" si="135"/>
        <v>460000</v>
      </c>
      <c r="H180" s="36">
        <f t="shared" si="135"/>
        <v>460000</v>
      </c>
      <c r="I180" s="36">
        <f t="shared" si="135"/>
        <v>230000</v>
      </c>
    </row>
    <row r="181" spans="1:9" s="80" customFormat="1" ht="13.5" x14ac:dyDescent="0.25">
      <c r="A181" s="80">
        <v>6</v>
      </c>
      <c r="B181" s="32" t="s">
        <v>288</v>
      </c>
      <c r="C181" s="33">
        <f t="shared" si="126"/>
        <v>200000</v>
      </c>
      <c r="D181" s="35">
        <v>0</v>
      </c>
      <c r="E181" s="34">
        <v>0</v>
      </c>
      <c r="F181" s="34">
        <v>200000</v>
      </c>
      <c r="G181" s="34">
        <v>0</v>
      </c>
      <c r="H181" s="34">
        <v>0</v>
      </c>
      <c r="I181" s="34">
        <v>0</v>
      </c>
    </row>
    <row r="182" spans="1:9" s="84" customFormat="1" ht="13.5" x14ac:dyDescent="0.25">
      <c r="B182" s="29" t="s">
        <v>23</v>
      </c>
      <c r="C182" s="30">
        <f t="shared" si="126"/>
        <v>46000</v>
      </c>
      <c r="D182" s="31">
        <f t="shared" ref="D182:I182" si="136">ROUND(D181*0.23,2)</f>
        <v>0</v>
      </c>
      <c r="E182" s="36">
        <f t="shared" si="136"/>
        <v>0</v>
      </c>
      <c r="F182" s="36">
        <f t="shared" si="136"/>
        <v>46000</v>
      </c>
      <c r="G182" s="36">
        <f t="shared" si="136"/>
        <v>0</v>
      </c>
      <c r="H182" s="36">
        <f t="shared" si="136"/>
        <v>0</v>
      </c>
      <c r="I182" s="36">
        <f t="shared" si="136"/>
        <v>0</v>
      </c>
    </row>
    <row r="183" spans="1:9" s="80" customFormat="1" ht="40.5" x14ac:dyDescent="0.25">
      <c r="A183" s="80">
        <v>7</v>
      </c>
      <c r="B183" s="32" t="s">
        <v>392</v>
      </c>
      <c r="C183" s="33">
        <f t="shared" si="126"/>
        <v>53500000</v>
      </c>
      <c r="D183" s="35">
        <v>0</v>
      </c>
      <c r="E183" s="34">
        <v>0</v>
      </c>
      <c r="F183" s="34">
        <v>15300000</v>
      </c>
      <c r="G183" s="34">
        <v>19100000</v>
      </c>
      <c r="H183" s="34">
        <v>19100000</v>
      </c>
      <c r="I183" s="34">
        <v>0</v>
      </c>
    </row>
    <row r="184" spans="1:9" s="84" customFormat="1" ht="13.5" x14ac:dyDescent="0.25">
      <c r="B184" s="29" t="s">
        <v>23</v>
      </c>
      <c r="C184" s="30">
        <f t="shared" si="126"/>
        <v>12305000</v>
      </c>
      <c r="D184" s="31">
        <f t="shared" ref="D184:I184" si="137">ROUND(D183*0.23,2)</f>
        <v>0</v>
      </c>
      <c r="E184" s="36">
        <f t="shared" si="137"/>
        <v>0</v>
      </c>
      <c r="F184" s="36">
        <f t="shared" si="137"/>
        <v>3519000</v>
      </c>
      <c r="G184" s="36">
        <f t="shared" si="137"/>
        <v>4393000</v>
      </c>
      <c r="H184" s="36">
        <f t="shared" si="137"/>
        <v>4393000</v>
      </c>
      <c r="I184" s="36">
        <f t="shared" si="137"/>
        <v>0</v>
      </c>
    </row>
    <row r="185" spans="1:9" s="80" customFormat="1" ht="13.5" x14ac:dyDescent="0.25">
      <c r="A185" s="80">
        <v>8</v>
      </c>
      <c r="B185" s="32" t="s">
        <v>286</v>
      </c>
      <c r="C185" s="33">
        <f t="shared" si="126"/>
        <v>1250000</v>
      </c>
      <c r="D185" s="35">
        <v>0</v>
      </c>
      <c r="E185" s="34">
        <v>200000</v>
      </c>
      <c r="F185" s="34">
        <v>500000</v>
      </c>
      <c r="G185" s="34">
        <v>200000</v>
      </c>
      <c r="H185" s="34">
        <v>200000</v>
      </c>
      <c r="I185" s="34">
        <v>150000</v>
      </c>
    </row>
    <row r="186" spans="1:9" s="84" customFormat="1" ht="13.5" x14ac:dyDescent="0.25">
      <c r="B186" s="29" t="s">
        <v>23</v>
      </c>
      <c r="C186" s="30">
        <f t="shared" si="126"/>
        <v>287500</v>
      </c>
      <c r="D186" s="31">
        <f t="shared" ref="D186:I186" si="138">ROUND(D185*0.23,2)</f>
        <v>0</v>
      </c>
      <c r="E186" s="31">
        <f t="shared" si="138"/>
        <v>46000</v>
      </c>
      <c r="F186" s="31">
        <f t="shared" si="138"/>
        <v>115000</v>
      </c>
      <c r="G186" s="31">
        <f t="shared" si="138"/>
        <v>46000</v>
      </c>
      <c r="H186" s="31">
        <f t="shared" si="138"/>
        <v>46000</v>
      </c>
      <c r="I186" s="31">
        <f t="shared" si="138"/>
        <v>34500</v>
      </c>
    </row>
    <row r="187" spans="1:9" s="80" customFormat="1" ht="27" x14ac:dyDescent="0.25">
      <c r="A187" s="80">
        <v>9</v>
      </c>
      <c r="B187" s="32" t="s">
        <v>397</v>
      </c>
      <c r="C187" s="33">
        <f t="shared" si="126"/>
        <v>8600000</v>
      </c>
      <c r="D187" s="35">
        <v>0</v>
      </c>
      <c r="E187" s="34">
        <v>0</v>
      </c>
      <c r="F187" s="34">
        <v>2600000</v>
      </c>
      <c r="G187" s="34">
        <v>3000000</v>
      </c>
      <c r="H187" s="34">
        <v>3000000</v>
      </c>
      <c r="I187" s="34">
        <v>0</v>
      </c>
    </row>
    <row r="188" spans="1:9" s="84" customFormat="1" ht="13.5" x14ac:dyDescent="0.25">
      <c r="B188" s="29" t="s">
        <v>23</v>
      </c>
      <c r="C188" s="30">
        <f t="shared" si="126"/>
        <v>1978000</v>
      </c>
      <c r="D188" s="31">
        <f t="shared" ref="D188:I188" si="139">ROUND(D187*0.23,2)</f>
        <v>0</v>
      </c>
      <c r="E188" s="36">
        <f t="shared" si="139"/>
        <v>0</v>
      </c>
      <c r="F188" s="36">
        <f t="shared" si="139"/>
        <v>598000</v>
      </c>
      <c r="G188" s="36">
        <f t="shared" si="139"/>
        <v>690000</v>
      </c>
      <c r="H188" s="36">
        <f t="shared" si="139"/>
        <v>690000</v>
      </c>
      <c r="I188" s="36">
        <f t="shared" si="139"/>
        <v>0</v>
      </c>
    </row>
    <row r="189" spans="1:9" s="80" customFormat="1" ht="13.5" x14ac:dyDescent="0.25">
      <c r="A189" s="80">
        <v>10</v>
      </c>
      <c r="B189" s="37" t="s">
        <v>396</v>
      </c>
      <c r="C189" s="33">
        <f>SUM(D189:I189)</f>
        <v>600000</v>
      </c>
      <c r="D189" s="35">
        <v>0</v>
      </c>
      <c r="E189" s="34">
        <v>600000</v>
      </c>
      <c r="F189" s="34">
        <v>0</v>
      </c>
      <c r="G189" s="34">
        <v>0</v>
      </c>
      <c r="H189" s="34">
        <v>0</v>
      </c>
      <c r="I189" s="34">
        <v>0</v>
      </c>
    </row>
    <row r="190" spans="1:9" s="84" customFormat="1" ht="13.5" x14ac:dyDescent="0.25">
      <c r="B190" s="29" t="s">
        <v>23</v>
      </c>
      <c r="C190" s="30">
        <f>SUM(D190:I190)</f>
        <v>138000</v>
      </c>
      <c r="D190" s="31">
        <f t="shared" ref="D190:I190" si="140">ROUND(D189*0.23,2)</f>
        <v>0</v>
      </c>
      <c r="E190" s="36">
        <f t="shared" si="140"/>
        <v>138000</v>
      </c>
      <c r="F190" s="36">
        <f t="shared" si="140"/>
        <v>0</v>
      </c>
      <c r="G190" s="36">
        <f t="shared" si="140"/>
        <v>0</v>
      </c>
      <c r="H190" s="36">
        <f t="shared" si="140"/>
        <v>0</v>
      </c>
      <c r="I190" s="36">
        <f t="shared" si="140"/>
        <v>0</v>
      </c>
    </row>
    <row r="191" spans="1:9" s="80" customFormat="1" ht="40.5" x14ac:dyDescent="0.25">
      <c r="A191" s="80">
        <v>11</v>
      </c>
      <c r="B191" s="32" t="s">
        <v>437</v>
      </c>
      <c r="C191" s="33">
        <f t="shared" si="126"/>
        <v>4800000</v>
      </c>
      <c r="D191" s="35">
        <v>0</v>
      </c>
      <c r="E191" s="34">
        <f>300000+1000000</f>
        <v>1300000</v>
      </c>
      <c r="F191" s="34">
        <f>500000+2000000</f>
        <v>2500000</v>
      </c>
      <c r="G191" s="34">
        <v>500000</v>
      </c>
      <c r="H191" s="34">
        <v>250000</v>
      </c>
      <c r="I191" s="34">
        <v>250000</v>
      </c>
    </row>
    <row r="192" spans="1:9" s="84" customFormat="1" ht="13.5" x14ac:dyDescent="0.25">
      <c r="B192" s="29" t="s">
        <v>23</v>
      </c>
      <c r="C192" s="30">
        <f t="shared" si="126"/>
        <v>1104000</v>
      </c>
      <c r="D192" s="31">
        <f t="shared" ref="D192:I192" si="141">ROUND(D191*0.23,2)</f>
        <v>0</v>
      </c>
      <c r="E192" s="36">
        <f t="shared" si="141"/>
        <v>299000</v>
      </c>
      <c r="F192" s="36">
        <f t="shared" si="141"/>
        <v>575000</v>
      </c>
      <c r="G192" s="36">
        <f t="shared" si="141"/>
        <v>115000</v>
      </c>
      <c r="H192" s="36">
        <f t="shared" si="141"/>
        <v>57500</v>
      </c>
      <c r="I192" s="36">
        <f t="shared" si="141"/>
        <v>57500</v>
      </c>
    </row>
    <row r="193" spans="1:10" s="80" customFormat="1" ht="27" customHeight="1" x14ac:dyDescent="0.25">
      <c r="A193" s="80">
        <v>12</v>
      </c>
      <c r="B193" s="32" t="s">
        <v>394</v>
      </c>
      <c r="C193" s="33">
        <f t="shared" si="126"/>
        <v>1400000</v>
      </c>
      <c r="D193" s="35">
        <v>0</v>
      </c>
      <c r="E193" s="34">
        <v>0</v>
      </c>
      <c r="F193" s="34">
        <v>1400000</v>
      </c>
      <c r="G193" s="34">
        <v>0</v>
      </c>
      <c r="H193" s="34">
        <v>0</v>
      </c>
      <c r="I193" s="34">
        <v>0</v>
      </c>
    </row>
    <row r="194" spans="1:10" s="84" customFormat="1" ht="13.5" x14ac:dyDescent="0.25">
      <c r="B194" s="29" t="s">
        <v>23</v>
      </c>
      <c r="C194" s="30">
        <f t="shared" si="126"/>
        <v>322000</v>
      </c>
      <c r="D194" s="31">
        <f t="shared" ref="D194:I194" si="142">ROUND(D193*0.23,2)</f>
        <v>0</v>
      </c>
      <c r="E194" s="36">
        <f t="shared" si="142"/>
        <v>0</v>
      </c>
      <c r="F194" s="36">
        <f t="shared" si="142"/>
        <v>322000</v>
      </c>
      <c r="G194" s="36">
        <f t="shared" si="142"/>
        <v>0</v>
      </c>
      <c r="H194" s="36">
        <f t="shared" si="142"/>
        <v>0</v>
      </c>
      <c r="I194" s="36">
        <f t="shared" si="142"/>
        <v>0</v>
      </c>
    </row>
    <row r="195" spans="1:10" s="80" customFormat="1" ht="27" x14ac:dyDescent="0.25">
      <c r="A195" s="80">
        <v>13</v>
      </c>
      <c r="B195" s="32" t="s">
        <v>393</v>
      </c>
      <c r="C195" s="33">
        <f t="shared" si="126"/>
        <v>40100000</v>
      </c>
      <c r="D195" s="35">
        <v>0</v>
      </c>
      <c r="E195" s="34">
        <f>1200000+6000000</f>
        <v>7200000</v>
      </c>
      <c r="F195" s="34">
        <f>3200000+6000000</f>
        <v>9200000</v>
      </c>
      <c r="G195" s="34">
        <f>2400000+6000000</f>
        <v>8400000</v>
      </c>
      <c r="H195" s="34">
        <f>2000000+6000000</f>
        <v>8000000</v>
      </c>
      <c r="I195" s="34">
        <f>1300000+6000000</f>
        <v>7300000</v>
      </c>
    </row>
    <row r="196" spans="1:10" s="84" customFormat="1" ht="13.5" x14ac:dyDescent="0.25">
      <c r="B196" s="29" t="s">
        <v>23</v>
      </c>
      <c r="C196" s="30">
        <f t="shared" si="126"/>
        <v>9223000</v>
      </c>
      <c r="D196" s="31">
        <f t="shared" ref="D196:I196" si="143">ROUND(D195*0.23,2)</f>
        <v>0</v>
      </c>
      <c r="E196" s="36">
        <f t="shared" si="143"/>
        <v>1656000</v>
      </c>
      <c r="F196" s="36">
        <f t="shared" si="143"/>
        <v>2116000</v>
      </c>
      <c r="G196" s="36">
        <f t="shared" si="143"/>
        <v>1932000</v>
      </c>
      <c r="H196" s="36">
        <f t="shared" si="143"/>
        <v>1840000</v>
      </c>
      <c r="I196" s="36">
        <f t="shared" si="143"/>
        <v>1679000</v>
      </c>
    </row>
    <row r="197" spans="1:10" s="80" customFormat="1" ht="13.5" x14ac:dyDescent="0.25">
      <c r="A197" s="80">
        <v>14</v>
      </c>
      <c r="B197" s="32" t="s">
        <v>434</v>
      </c>
      <c r="C197" s="33">
        <f t="shared" ref="C197:C198" si="144">SUM(D197:I197)</f>
        <v>4350000</v>
      </c>
      <c r="D197" s="35">
        <v>0</v>
      </c>
      <c r="E197" s="34">
        <v>600000</v>
      </c>
      <c r="F197" s="34">
        <f>1000000+350000</f>
        <v>1350000</v>
      </c>
      <c r="G197" s="34">
        <v>1000000</v>
      </c>
      <c r="H197" s="34">
        <v>1000000</v>
      </c>
      <c r="I197" s="34">
        <v>400000</v>
      </c>
    </row>
    <row r="198" spans="1:10" s="84" customFormat="1" ht="13.5" x14ac:dyDescent="0.25">
      <c r="B198" s="29" t="s">
        <v>23</v>
      </c>
      <c r="C198" s="30">
        <f t="shared" si="144"/>
        <v>1000500</v>
      </c>
      <c r="D198" s="31">
        <f t="shared" ref="D198:I198" si="145">ROUND(D197*0.23,2)</f>
        <v>0</v>
      </c>
      <c r="E198" s="36">
        <f t="shared" si="145"/>
        <v>138000</v>
      </c>
      <c r="F198" s="36">
        <f t="shared" si="145"/>
        <v>310500</v>
      </c>
      <c r="G198" s="36">
        <f t="shared" si="145"/>
        <v>230000</v>
      </c>
      <c r="H198" s="36">
        <f t="shared" si="145"/>
        <v>230000</v>
      </c>
      <c r="I198" s="36">
        <f t="shared" si="145"/>
        <v>92000</v>
      </c>
    </row>
    <row r="199" spans="1:10" s="80" customFormat="1" ht="13.5" x14ac:dyDescent="0.25">
      <c r="A199" s="80">
        <v>15</v>
      </c>
      <c r="B199" s="32" t="s">
        <v>289</v>
      </c>
      <c r="C199" s="33">
        <f t="shared" si="126"/>
        <v>3000000</v>
      </c>
      <c r="D199" s="35">
        <v>0</v>
      </c>
      <c r="E199" s="34">
        <v>400000</v>
      </c>
      <c r="F199" s="34">
        <v>900000</v>
      </c>
      <c r="G199" s="34">
        <v>900000</v>
      </c>
      <c r="H199" s="34">
        <v>500000</v>
      </c>
      <c r="I199" s="34">
        <v>300000</v>
      </c>
    </row>
    <row r="200" spans="1:10" s="84" customFormat="1" ht="13.5" x14ac:dyDescent="0.25">
      <c r="B200" s="29" t="s">
        <v>23</v>
      </c>
      <c r="C200" s="30">
        <f t="shared" si="126"/>
        <v>690000</v>
      </c>
      <c r="D200" s="31">
        <f t="shared" ref="D200:I200" si="146">ROUND(D199*0.23,2)</f>
        <v>0</v>
      </c>
      <c r="E200" s="36">
        <f t="shared" si="146"/>
        <v>92000</v>
      </c>
      <c r="F200" s="36">
        <f t="shared" si="146"/>
        <v>207000</v>
      </c>
      <c r="G200" s="36">
        <f t="shared" si="146"/>
        <v>207000</v>
      </c>
      <c r="H200" s="36">
        <f t="shared" si="146"/>
        <v>115000</v>
      </c>
      <c r="I200" s="36">
        <f t="shared" si="146"/>
        <v>69000</v>
      </c>
    </row>
    <row r="201" spans="1:10" s="80" customFormat="1" ht="26.25" customHeight="1" x14ac:dyDescent="0.25">
      <c r="A201" s="80">
        <v>16</v>
      </c>
      <c r="B201" s="32" t="s">
        <v>290</v>
      </c>
      <c r="C201" s="33">
        <f t="shared" si="126"/>
        <v>5500000</v>
      </c>
      <c r="D201" s="35">
        <v>0</v>
      </c>
      <c r="E201" s="34">
        <v>500000</v>
      </c>
      <c r="F201" s="34">
        <v>1500000</v>
      </c>
      <c r="G201" s="34">
        <v>2000000</v>
      </c>
      <c r="H201" s="34">
        <v>1000000</v>
      </c>
      <c r="I201" s="34">
        <v>500000</v>
      </c>
    </row>
    <row r="202" spans="1:10" s="84" customFormat="1" ht="13.5" x14ac:dyDescent="0.25">
      <c r="B202" s="29" t="s">
        <v>23</v>
      </c>
      <c r="C202" s="30">
        <f t="shared" si="126"/>
        <v>1265000</v>
      </c>
      <c r="D202" s="31">
        <f t="shared" ref="D202:I202" si="147">ROUND(D201*0.23,2)</f>
        <v>0</v>
      </c>
      <c r="E202" s="31">
        <f t="shared" si="147"/>
        <v>115000</v>
      </c>
      <c r="F202" s="31">
        <f t="shared" si="147"/>
        <v>345000</v>
      </c>
      <c r="G202" s="31">
        <f t="shared" si="147"/>
        <v>460000</v>
      </c>
      <c r="H202" s="31">
        <f t="shared" si="147"/>
        <v>230000</v>
      </c>
      <c r="I202" s="31">
        <f t="shared" si="147"/>
        <v>115000</v>
      </c>
    </row>
    <row r="203" spans="1:10" s="80" customFormat="1" ht="54" x14ac:dyDescent="0.25">
      <c r="A203" s="80">
        <v>17</v>
      </c>
      <c r="B203" s="32" t="s">
        <v>432</v>
      </c>
      <c r="C203" s="33">
        <f t="shared" ref="C203:C204" si="148">SUM(D203:I203)</f>
        <v>22400000</v>
      </c>
      <c r="D203" s="35">
        <v>400000</v>
      </c>
      <c r="E203" s="34">
        <v>4000000</v>
      </c>
      <c r="F203" s="34">
        <v>4000000</v>
      </c>
      <c r="G203" s="34">
        <v>5000000</v>
      </c>
      <c r="H203" s="34">
        <v>5000000</v>
      </c>
      <c r="I203" s="34">
        <v>4000000</v>
      </c>
    </row>
    <row r="204" spans="1:10" s="84" customFormat="1" ht="13.5" x14ac:dyDescent="0.25">
      <c r="B204" s="29" t="s">
        <v>23</v>
      </c>
      <c r="C204" s="30">
        <f t="shared" si="148"/>
        <v>5152000</v>
      </c>
      <c r="D204" s="31">
        <f t="shared" ref="D204:I204" si="149">ROUND(D203*0.23,2)</f>
        <v>92000</v>
      </c>
      <c r="E204" s="36">
        <f t="shared" si="149"/>
        <v>920000</v>
      </c>
      <c r="F204" s="36">
        <f t="shared" si="149"/>
        <v>920000</v>
      </c>
      <c r="G204" s="36">
        <f t="shared" si="149"/>
        <v>1150000</v>
      </c>
      <c r="H204" s="36">
        <f t="shared" si="149"/>
        <v>1150000</v>
      </c>
      <c r="I204" s="36">
        <f t="shared" si="149"/>
        <v>920000</v>
      </c>
    </row>
    <row r="205" spans="1:10" s="80" customFormat="1" ht="42" customHeight="1" x14ac:dyDescent="0.25">
      <c r="A205" s="80">
        <v>18</v>
      </c>
      <c r="B205" s="32" t="s">
        <v>368</v>
      </c>
      <c r="C205" s="33">
        <f t="shared" si="126"/>
        <v>4000000</v>
      </c>
      <c r="D205" s="35">
        <v>0</v>
      </c>
      <c r="E205" s="34">
        <v>2000000</v>
      </c>
      <c r="F205" s="34">
        <v>2000000</v>
      </c>
      <c r="G205" s="34">
        <v>0</v>
      </c>
      <c r="H205" s="34">
        <v>0</v>
      </c>
      <c r="I205" s="34">
        <v>0</v>
      </c>
    </row>
    <row r="206" spans="1:10" s="84" customFormat="1" ht="13.5" x14ac:dyDescent="0.25">
      <c r="B206" s="29" t="s">
        <v>23</v>
      </c>
      <c r="C206" s="30">
        <f t="shared" si="126"/>
        <v>920000</v>
      </c>
      <c r="D206" s="31">
        <f t="shared" ref="D206:I206" si="150">ROUND(D205*0.23,2)</f>
        <v>0</v>
      </c>
      <c r="E206" s="36">
        <f t="shared" si="150"/>
        <v>460000</v>
      </c>
      <c r="F206" s="36">
        <f t="shared" si="150"/>
        <v>460000</v>
      </c>
      <c r="G206" s="36">
        <f t="shared" si="150"/>
        <v>0</v>
      </c>
      <c r="H206" s="36">
        <f t="shared" si="150"/>
        <v>0</v>
      </c>
      <c r="I206" s="36">
        <f t="shared" si="150"/>
        <v>0</v>
      </c>
    </row>
    <row r="207" spans="1:10" s="80" customFormat="1" ht="27" x14ac:dyDescent="0.25">
      <c r="A207" s="80">
        <v>19</v>
      </c>
      <c r="B207" s="32" t="s">
        <v>367</v>
      </c>
      <c r="C207" s="33">
        <f t="shared" ref="C207:C208" si="151">SUM(D207:I207)</f>
        <v>1000000</v>
      </c>
      <c r="D207" s="35">
        <v>0</v>
      </c>
      <c r="E207" s="34">
        <v>1000000</v>
      </c>
      <c r="F207" s="34">
        <v>0</v>
      </c>
      <c r="G207" s="34">
        <v>0</v>
      </c>
      <c r="H207" s="34">
        <v>0</v>
      </c>
      <c r="I207" s="34">
        <v>0</v>
      </c>
      <c r="J207" s="80">
        <v>7</v>
      </c>
    </row>
    <row r="208" spans="1:10" s="84" customFormat="1" ht="13.5" x14ac:dyDescent="0.25">
      <c r="B208" s="29" t="s">
        <v>23</v>
      </c>
      <c r="C208" s="30">
        <f t="shared" si="151"/>
        <v>230000</v>
      </c>
      <c r="D208" s="31">
        <f t="shared" ref="D208:I208" si="152">ROUND(D207*0.23,2)</f>
        <v>0</v>
      </c>
      <c r="E208" s="36">
        <f t="shared" si="152"/>
        <v>230000</v>
      </c>
      <c r="F208" s="36">
        <f t="shared" si="152"/>
        <v>0</v>
      </c>
      <c r="G208" s="36">
        <f t="shared" si="152"/>
        <v>0</v>
      </c>
      <c r="H208" s="36">
        <f t="shared" si="152"/>
        <v>0</v>
      </c>
      <c r="I208" s="36">
        <f t="shared" si="152"/>
        <v>0</v>
      </c>
    </row>
    <row r="209" spans="1:33" s="80" customFormat="1" ht="13.5" x14ac:dyDescent="0.25">
      <c r="A209" s="80">
        <v>20</v>
      </c>
      <c r="B209" s="37" t="s">
        <v>24</v>
      </c>
      <c r="C209" s="33">
        <f>SUM(D209:I209)</f>
        <v>4255000</v>
      </c>
      <c r="D209" s="35">
        <f>ROUND(SUM(D201,D199,D197,D195,D193,D191,D189,D187,D185,D183,D181,D179,D177,D175)*2.5%,-3)</f>
        <v>187000</v>
      </c>
      <c r="E209" s="35">
        <f t="shared" ref="E209:I209" si="153">ROUND(SUM(E201,E199,E197,E195,E193,E191,E189,E187,E185,E183,E181,E179,E177,E175)*2.5%,-3)</f>
        <v>398000</v>
      </c>
      <c r="F209" s="35">
        <f t="shared" si="153"/>
        <v>1011000</v>
      </c>
      <c r="G209" s="35">
        <f t="shared" si="153"/>
        <v>1119000</v>
      </c>
      <c r="H209" s="35">
        <f t="shared" si="153"/>
        <v>1098000</v>
      </c>
      <c r="I209" s="35">
        <f t="shared" si="153"/>
        <v>442000</v>
      </c>
    </row>
    <row r="210" spans="1:33" s="84" customFormat="1" ht="13.5" x14ac:dyDescent="0.25">
      <c r="B210" s="29" t="s">
        <v>23</v>
      </c>
      <c r="C210" s="30">
        <f t="shared" si="126"/>
        <v>978650</v>
      </c>
      <c r="D210" s="31">
        <f t="shared" ref="D210:I210" si="154">ROUND(D209*0.23,2)</f>
        <v>43010</v>
      </c>
      <c r="E210" s="36">
        <f t="shared" si="154"/>
        <v>91540</v>
      </c>
      <c r="F210" s="36">
        <f t="shared" si="154"/>
        <v>232530</v>
      </c>
      <c r="G210" s="36">
        <f t="shared" si="154"/>
        <v>257370</v>
      </c>
      <c r="H210" s="36">
        <f t="shared" si="154"/>
        <v>252540</v>
      </c>
      <c r="I210" s="36">
        <f t="shared" si="154"/>
        <v>101660</v>
      </c>
    </row>
    <row r="211" spans="1:33" s="80" customFormat="1" ht="13.5" x14ac:dyDescent="0.25">
      <c r="A211" s="80">
        <v>21</v>
      </c>
      <c r="B211" s="37" t="s">
        <v>25</v>
      </c>
      <c r="C211" s="33">
        <f t="shared" si="126"/>
        <v>1977000</v>
      </c>
      <c r="D211" s="33">
        <f>ROUND(SUM(D205,D207,D203,D201,D199,D197,D195,D193,D191,D189,D187,D185,D183,D181,D179,D177,D175)*1%,-3)</f>
        <v>79000</v>
      </c>
      <c r="E211" s="33">
        <f t="shared" ref="E211:I211" si="155">ROUND(SUM(E205,E207,E203,E201,E199,E197,E195,E193,E191,E189,E187,E185,E183,E181,E179,E177,E175)*1%,-3)</f>
        <v>229000</v>
      </c>
      <c r="F211" s="33">
        <f t="shared" si="155"/>
        <v>465000</v>
      </c>
      <c r="G211" s="33">
        <f t="shared" si="155"/>
        <v>498000</v>
      </c>
      <c r="H211" s="33">
        <f t="shared" si="155"/>
        <v>489000</v>
      </c>
      <c r="I211" s="33">
        <f t="shared" si="155"/>
        <v>217000</v>
      </c>
    </row>
    <row r="212" spans="1:33" s="84" customFormat="1" ht="14.25" thickBot="1" x14ac:dyDescent="0.3">
      <c r="B212" s="38" t="s">
        <v>23</v>
      </c>
      <c r="C212" s="39">
        <f t="shared" si="126"/>
        <v>454710</v>
      </c>
      <c r="D212" s="40">
        <f t="shared" ref="D212:I212" si="156">ROUND(D211*0.23,2)</f>
        <v>18170</v>
      </c>
      <c r="E212" s="41">
        <f t="shared" si="156"/>
        <v>52670</v>
      </c>
      <c r="F212" s="41">
        <f t="shared" si="156"/>
        <v>106950</v>
      </c>
      <c r="G212" s="41">
        <f t="shared" si="156"/>
        <v>114540</v>
      </c>
      <c r="H212" s="41">
        <f t="shared" si="156"/>
        <v>112470</v>
      </c>
      <c r="I212" s="41">
        <f t="shared" si="156"/>
        <v>49910</v>
      </c>
    </row>
    <row r="213" spans="1:33" ht="13.5" x14ac:dyDescent="0.25">
      <c r="A213" s="12">
        <v>22</v>
      </c>
      <c r="B213" s="42" t="s">
        <v>26</v>
      </c>
      <c r="C213" s="43">
        <f>C171+C173+C175+C177+C179+C181+C183+C185+C187+C189+C191+C193+C195+C197+C199+C201+C203+C205+C207+C209+C211</f>
        <v>205612315</v>
      </c>
      <c r="D213" s="43">
        <f>D171+D173+D175+D177+D179+D181+D183+D185+D187+D189+D191+D193+D195+D197+D199+D201+D203+D205+D207+D209+D211</f>
        <v>8653400</v>
      </c>
      <c r="E213" s="43">
        <f t="shared" ref="E213:I214" si="157">E171+E173+E175+E177+E179+E181+E183+E185+E187+E189+E191+E193+E195+E197+E199+E201+E203+E205+E207+E209+E211</f>
        <v>24777000</v>
      </c>
      <c r="F213" s="43">
        <f t="shared" si="157"/>
        <v>47926000</v>
      </c>
      <c r="G213" s="43">
        <f t="shared" si="157"/>
        <v>51380359</v>
      </c>
      <c r="H213" s="43">
        <f t="shared" si="157"/>
        <v>50526778</v>
      </c>
      <c r="I213" s="43">
        <f t="shared" si="157"/>
        <v>22348778</v>
      </c>
    </row>
    <row r="214" spans="1:33" ht="13.5" x14ac:dyDescent="0.25">
      <c r="B214" s="29" t="s">
        <v>27</v>
      </c>
      <c r="C214" s="44">
        <f>C172+C174+C176+C178+C180+C182+C184+C186+C188+C190+C192+C194+C196+C198+C200+C202+C204+C206+C208+C210+C212</f>
        <v>47290832.450000003</v>
      </c>
      <c r="D214" s="44">
        <f>D172+D174+D176+D178+D180+D182+D184+D186+D188+D190+D192+D194+D196+D198+D200+D202+D204+D206+D208+D210+D212</f>
        <v>1990282</v>
      </c>
      <c r="E214" s="44">
        <f t="shared" si="157"/>
        <v>5698710</v>
      </c>
      <c r="F214" s="44">
        <f t="shared" si="157"/>
        <v>11022980</v>
      </c>
      <c r="G214" s="44">
        <f t="shared" si="157"/>
        <v>11817482.57</v>
      </c>
      <c r="H214" s="44">
        <f t="shared" si="157"/>
        <v>11621158.939999999</v>
      </c>
      <c r="I214" s="44">
        <f t="shared" si="157"/>
        <v>5140218.9399999995</v>
      </c>
    </row>
    <row r="215" spans="1:33" ht="14.25" thickBot="1" x14ac:dyDescent="0.3">
      <c r="A215" s="12">
        <v>23</v>
      </c>
      <c r="B215" s="46" t="s">
        <v>28</v>
      </c>
      <c r="C215" s="47">
        <f>C213+C214</f>
        <v>252903147.44999999</v>
      </c>
      <c r="D215" s="47">
        <f t="shared" ref="D215:I215" si="158">D213+D214</f>
        <v>10643682</v>
      </c>
      <c r="E215" s="47">
        <f t="shared" si="158"/>
        <v>30475710</v>
      </c>
      <c r="F215" s="47">
        <f t="shared" si="158"/>
        <v>58948980</v>
      </c>
      <c r="G215" s="47">
        <f t="shared" si="158"/>
        <v>63197841.57</v>
      </c>
      <c r="H215" s="47">
        <f t="shared" si="158"/>
        <v>62147936.939999998</v>
      </c>
      <c r="I215" s="47">
        <f t="shared" si="158"/>
        <v>27488996.939999998</v>
      </c>
    </row>
    <row r="216" spans="1:33" ht="13.5" x14ac:dyDescent="0.25">
      <c r="A216" s="12">
        <v>24</v>
      </c>
      <c r="B216" s="48" t="s">
        <v>29</v>
      </c>
      <c r="C216" s="441">
        <f>C215-C217</f>
        <v>205612315</v>
      </c>
      <c r="D216" s="441">
        <f t="shared" ref="D216:I216" si="159">D215-D217</f>
        <v>8653400</v>
      </c>
      <c r="E216" s="441">
        <f t="shared" si="159"/>
        <v>24777000</v>
      </c>
      <c r="F216" s="441">
        <f t="shared" si="159"/>
        <v>47926000</v>
      </c>
      <c r="G216" s="441">
        <f t="shared" si="159"/>
        <v>51380359</v>
      </c>
      <c r="H216" s="441">
        <f t="shared" si="159"/>
        <v>50526778</v>
      </c>
      <c r="I216" s="441">
        <f t="shared" si="159"/>
        <v>22348778</v>
      </c>
    </row>
    <row r="217" spans="1:33" ht="14.25" thickBot="1" x14ac:dyDescent="0.3">
      <c r="A217" s="12">
        <v>25</v>
      </c>
      <c r="B217" s="49" t="s">
        <v>30</v>
      </c>
      <c r="C217" s="90">
        <f>SUM(D217:I217)</f>
        <v>47290832.449999996</v>
      </c>
      <c r="D217" s="90">
        <f>D214</f>
        <v>1990282</v>
      </c>
      <c r="E217" s="90">
        <f t="shared" ref="E217:I217" si="160">E214</f>
        <v>5698710</v>
      </c>
      <c r="F217" s="90">
        <f t="shared" si="160"/>
        <v>11022980</v>
      </c>
      <c r="G217" s="90">
        <f t="shared" si="160"/>
        <v>11817482.57</v>
      </c>
      <c r="H217" s="90">
        <f t="shared" si="160"/>
        <v>11621158.939999999</v>
      </c>
      <c r="I217" s="90">
        <f t="shared" si="160"/>
        <v>5140218.9399999995</v>
      </c>
    </row>
    <row r="218" spans="1:33" x14ac:dyDescent="0.2">
      <c r="B218" s="97"/>
      <c r="C218" s="97"/>
      <c r="G218" s="97"/>
      <c r="H218" s="97"/>
      <c r="I218" s="97"/>
      <c r="J218" s="97"/>
      <c r="K218" s="97"/>
      <c r="L218" s="97"/>
      <c r="M218" s="97"/>
      <c r="AA218" s="97"/>
      <c r="AB218" s="98"/>
      <c r="AG218" s="102"/>
    </row>
    <row r="219" spans="1:33" ht="15.75" x14ac:dyDescent="0.2">
      <c r="B219" s="233" t="s">
        <v>333</v>
      </c>
      <c r="C219" s="97"/>
      <c r="H219" s="97"/>
      <c r="J219" s="97"/>
      <c r="K219" s="97"/>
      <c r="M219" s="97"/>
      <c r="Y219" s="97"/>
      <c r="Z219" s="97"/>
      <c r="AC219" s="269"/>
      <c r="AG219" s="97"/>
    </row>
    <row r="220" spans="1:33" ht="13.5" x14ac:dyDescent="0.25">
      <c r="B220" s="20" t="s">
        <v>31</v>
      </c>
      <c r="C220" s="19">
        <v>2015</v>
      </c>
      <c r="D220" s="19">
        <f>C220+1</f>
        <v>2016</v>
      </c>
      <c r="E220" s="19">
        <f>D220+1</f>
        <v>2017</v>
      </c>
      <c r="F220" s="19">
        <f>E220+1</f>
        <v>2018</v>
      </c>
      <c r="G220" s="19">
        <f>F220+1</f>
        <v>2019</v>
      </c>
      <c r="H220" s="19">
        <f>G220+1</f>
        <v>2020</v>
      </c>
      <c r="I220" s="94"/>
      <c r="J220" s="94"/>
      <c r="K220" s="94"/>
      <c r="L220" s="94"/>
      <c r="M220" s="97"/>
      <c r="Y220" s="97"/>
    </row>
    <row r="221" spans="1:33" ht="13.5" x14ac:dyDescent="0.25">
      <c r="B221" s="21" t="s">
        <v>284</v>
      </c>
      <c r="C221" s="22">
        <f t="shared" ref="C221:H221" si="161">SUM(D171,D173)</f>
        <v>500000</v>
      </c>
      <c r="D221" s="22">
        <f t="shared" si="161"/>
        <v>1250000</v>
      </c>
      <c r="E221" s="22">
        <f t="shared" si="161"/>
        <v>0</v>
      </c>
      <c r="F221" s="22">
        <f t="shared" si="161"/>
        <v>0</v>
      </c>
      <c r="G221" s="22">
        <f t="shared" si="161"/>
        <v>0</v>
      </c>
      <c r="H221" s="22">
        <f t="shared" si="161"/>
        <v>0</v>
      </c>
      <c r="I221" s="93">
        <f>SUM(C221:H221)</f>
        <v>1750000</v>
      </c>
      <c r="J221" s="94"/>
      <c r="K221" s="95"/>
      <c r="L221" s="96"/>
      <c r="AA221" s="97"/>
    </row>
    <row r="222" spans="1:33" ht="13.5" x14ac:dyDescent="0.25">
      <c r="B222" s="21" t="s">
        <v>32</v>
      </c>
      <c r="C222" s="22">
        <f>SUM(D216:D216)-C221-C223</f>
        <v>7887400</v>
      </c>
      <c r="D222" s="22">
        <f>SUM(E216:E216)-D221-D223</f>
        <v>22900000</v>
      </c>
      <c r="E222" s="22">
        <f t="shared" ref="E222:H222" si="162">SUM(F216:F216)-E221-E223</f>
        <v>46450000</v>
      </c>
      <c r="F222" s="22">
        <f t="shared" si="162"/>
        <v>49763359</v>
      </c>
      <c r="G222" s="22">
        <f t="shared" si="162"/>
        <v>48939778</v>
      </c>
      <c r="H222" s="22">
        <f t="shared" si="162"/>
        <v>21689778</v>
      </c>
      <c r="I222" s="93">
        <f>SUM(C222:H222)</f>
        <v>197630315</v>
      </c>
      <c r="J222" s="94"/>
      <c r="K222" s="94"/>
      <c r="L222" s="96"/>
      <c r="U222" s="97"/>
      <c r="AA222" s="97"/>
    </row>
    <row r="223" spans="1:33" ht="13.5" x14ac:dyDescent="0.25">
      <c r="B223" s="21" t="s">
        <v>33</v>
      </c>
      <c r="C223" s="22">
        <f t="shared" ref="C223:H223" si="163">SUM(D209:D209,D211:D211)</f>
        <v>266000</v>
      </c>
      <c r="D223" s="22">
        <f t="shared" si="163"/>
        <v>627000</v>
      </c>
      <c r="E223" s="22">
        <f t="shared" si="163"/>
        <v>1476000</v>
      </c>
      <c r="F223" s="22">
        <f t="shared" si="163"/>
        <v>1617000</v>
      </c>
      <c r="G223" s="22">
        <f t="shared" si="163"/>
        <v>1587000</v>
      </c>
      <c r="H223" s="22">
        <f t="shared" si="163"/>
        <v>659000</v>
      </c>
      <c r="I223" s="93">
        <f>SUM(C223:H223)</f>
        <v>6232000</v>
      </c>
      <c r="J223" s="94"/>
      <c r="K223" s="94"/>
      <c r="L223" s="94"/>
      <c r="R223" s="97"/>
      <c r="AA223" s="98"/>
    </row>
    <row r="224" spans="1:33" ht="13.5" x14ac:dyDescent="0.25">
      <c r="B224" s="24" t="s">
        <v>34</v>
      </c>
      <c r="C224" s="23">
        <f t="shared" ref="C224:H224" si="164">SUM(C221:C223)</f>
        <v>8653400</v>
      </c>
      <c r="D224" s="23">
        <f t="shared" si="164"/>
        <v>24777000</v>
      </c>
      <c r="E224" s="23">
        <f t="shared" si="164"/>
        <v>47926000</v>
      </c>
      <c r="F224" s="23">
        <f t="shared" si="164"/>
        <v>51380359</v>
      </c>
      <c r="G224" s="23">
        <f t="shared" si="164"/>
        <v>50526778</v>
      </c>
      <c r="H224" s="23">
        <f t="shared" si="164"/>
        <v>22348778</v>
      </c>
      <c r="I224" s="93">
        <f>SUM(C224:H224)</f>
        <v>205612315</v>
      </c>
      <c r="J224" s="99"/>
      <c r="K224" s="98"/>
      <c r="L224" s="98"/>
    </row>
    <row r="225" spans="1:13" x14ac:dyDescent="0.2">
      <c r="C225" s="97"/>
      <c r="F225" s="100"/>
      <c r="I225" s="101"/>
      <c r="J225" s="99"/>
      <c r="K225" s="98"/>
      <c r="L225" s="98"/>
      <c r="M225" s="102"/>
    </row>
    <row r="226" spans="1:13" ht="16.5" thickBot="1" x14ac:dyDescent="0.25">
      <c r="B226" s="233" t="s">
        <v>314</v>
      </c>
      <c r="H226" s="97"/>
      <c r="I226" s="97"/>
      <c r="J226" s="97"/>
      <c r="K226" s="97"/>
      <c r="L226" s="97"/>
      <c r="M226" s="97"/>
    </row>
    <row r="227" spans="1:13" s="1" customFormat="1" ht="13.5" x14ac:dyDescent="0.25">
      <c r="B227" s="452" t="s">
        <v>283</v>
      </c>
      <c r="C227" s="452" t="s">
        <v>22</v>
      </c>
      <c r="D227" s="452">
        <v>2015</v>
      </c>
      <c r="E227" s="452">
        <v>2016</v>
      </c>
      <c r="F227" s="452">
        <v>2017</v>
      </c>
      <c r="G227" s="452">
        <v>2018</v>
      </c>
      <c r="H227" s="452">
        <v>2019</v>
      </c>
      <c r="I227" s="452">
        <v>2020</v>
      </c>
    </row>
    <row r="228" spans="1:13" s="1" customFormat="1" ht="14.25" thickBot="1" x14ac:dyDescent="0.3">
      <c r="B228" s="453"/>
      <c r="C228" s="453"/>
      <c r="D228" s="453"/>
      <c r="E228" s="453"/>
      <c r="F228" s="453"/>
      <c r="G228" s="453"/>
      <c r="H228" s="453"/>
      <c r="I228" s="453"/>
    </row>
    <row r="229" spans="1:13" s="91" customFormat="1" ht="13.5" x14ac:dyDescent="0.25">
      <c r="A229" s="91">
        <v>1</v>
      </c>
      <c r="B229" s="25" t="s">
        <v>359</v>
      </c>
      <c r="C229" s="26">
        <f t="shared" ref="C229:C274" si="165">SUM(D229:I229)</f>
        <v>1000000</v>
      </c>
      <c r="D229" s="27">
        <v>250000</v>
      </c>
      <c r="E229" s="28">
        <v>750000</v>
      </c>
      <c r="F229" s="28"/>
      <c r="G229" s="28"/>
      <c r="H229" s="28"/>
      <c r="I229" s="28"/>
    </row>
    <row r="230" spans="1:13" s="1" customFormat="1" ht="18.75" customHeight="1" x14ac:dyDescent="0.25">
      <c r="B230" s="29" t="s">
        <v>23</v>
      </c>
      <c r="C230" s="81">
        <f t="shared" si="165"/>
        <v>230000</v>
      </c>
      <c r="D230" s="82">
        <f t="shared" ref="D230:I230" si="166">ROUND(D229*0.23,2)</f>
        <v>57500</v>
      </c>
      <c r="E230" s="82">
        <f t="shared" si="166"/>
        <v>172500</v>
      </c>
      <c r="F230" s="35">
        <f t="shared" si="166"/>
        <v>0</v>
      </c>
      <c r="G230" s="82">
        <f t="shared" si="166"/>
        <v>0</v>
      </c>
      <c r="H230" s="82">
        <f t="shared" si="166"/>
        <v>0</v>
      </c>
      <c r="I230" s="82">
        <f t="shared" si="166"/>
        <v>0</v>
      </c>
    </row>
    <row r="231" spans="1:13" s="91" customFormat="1" ht="13.5" x14ac:dyDescent="0.25">
      <c r="A231" s="91">
        <v>2</v>
      </c>
      <c r="B231" s="32" t="s">
        <v>360</v>
      </c>
      <c r="C231" s="33">
        <f>SUM(D231:I231)</f>
        <v>750000</v>
      </c>
      <c r="D231" s="34">
        <v>250000</v>
      </c>
      <c r="E231" s="35">
        <v>500000</v>
      </c>
      <c r="F231" s="35"/>
      <c r="G231" s="35"/>
      <c r="H231" s="35"/>
      <c r="I231" s="35"/>
    </row>
    <row r="232" spans="1:13" s="1" customFormat="1" ht="18.75" customHeight="1" x14ac:dyDescent="0.25">
      <c r="B232" s="29" t="s">
        <v>23</v>
      </c>
      <c r="C232" s="81">
        <f>SUM(D232:I232)</f>
        <v>172500</v>
      </c>
      <c r="D232" s="82">
        <f t="shared" ref="D232:I232" si="167">ROUND(D231*0.23,2)</f>
        <v>57500</v>
      </c>
      <c r="E232" s="82">
        <f t="shared" si="167"/>
        <v>115000</v>
      </c>
      <c r="F232" s="82">
        <f t="shared" si="167"/>
        <v>0</v>
      </c>
      <c r="G232" s="82">
        <f t="shared" si="167"/>
        <v>0</v>
      </c>
      <c r="H232" s="82">
        <f t="shared" si="167"/>
        <v>0</v>
      </c>
      <c r="I232" s="82">
        <f t="shared" si="167"/>
        <v>0</v>
      </c>
    </row>
    <row r="233" spans="1:13" s="91" customFormat="1" ht="13.5" x14ac:dyDescent="0.25">
      <c r="A233" s="91">
        <v>3</v>
      </c>
      <c r="B233" s="32" t="s">
        <v>446</v>
      </c>
      <c r="C233" s="33">
        <f t="shared" si="165"/>
        <v>20159098</v>
      </c>
      <c r="D233" s="35">
        <v>4077100</v>
      </c>
      <c r="E233" s="34">
        <v>4250000</v>
      </c>
      <c r="F233" s="34">
        <v>3600000</v>
      </c>
      <c r="G233" s="34">
        <v>2905411</v>
      </c>
      <c r="H233" s="34">
        <v>2905411</v>
      </c>
      <c r="I233" s="34">
        <v>2421176</v>
      </c>
    </row>
    <row r="234" spans="1:13" s="1" customFormat="1" ht="13.5" x14ac:dyDescent="0.25">
      <c r="B234" s="29" t="s">
        <v>23</v>
      </c>
      <c r="C234" s="81">
        <f t="shared" si="165"/>
        <v>4636592.540000001</v>
      </c>
      <c r="D234" s="82">
        <f t="shared" ref="D234:I234" si="168">ROUND(D233*0.23,2)</f>
        <v>937733</v>
      </c>
      <c r="E234" s="83">
        <f t="shared" si="168"/>
        <v>977500</v>
      </c>
      <c r="F234" s="83">
        <f t="shared" si="168"/>
        <v>828000</v>
      </c>
      <c r="G234" s="83">
        <f t="shared" si="168"/>
        <v>668244.53</v>
      </c>
      <c r="H234" s="83">
        <f t="shared" si="168"/>
        <v>668244.53</v>
      </c>
      <c r="I234" s="83">
        <f t="shared" si="168"/>
        <v>556870.48</v>
      </c>
    </row>
    <row r="235" spans="1:13" s="91" customFormat="1" ht="13.5" x14ac:dyDescent="0.25">
      <c r="A235" s="91">
        <v>4</v>
      </c>
      <c r="B235" s="32" t="s">
        <v>431</v>
      </c>
      <c r="C235" s="33">
        <f t="shared" ref="C235:C236" si="169">SUM(D235:I235)</f>
        <v>48500000</v>
      </c>
      <c r="D235" s="35">
        <v>0</v>
      </c>
      <c r="E235" s="34">
        <v>6300000</v>
      </c>
      <c r="F235" s="34">
        <v>42200000</v>
      </c>
      <c r="G235" s="34">
        <v>0</v>
      </c>
      <c r="H235" s="34">
        <v>0</v>
      </c>
      <c r="I235" s="34">
        <v>0</v>
      </c>
    </row>
    <row r="236" spans="1:13" s="1" customFormat="1" ht="13.5" x14ac:dyDescent="0.25">
      <c r="B236" s="29" t="s">
        <v>23</v>
      </c>
      <c r="C236" s="81">
        <f t="shared" si="169"/>
        <v>11155000</v>
      </c>
      <c r="D236" s="82">
        <f t="shared" ref="D236:I236" si="170">ROUND(D235*0.23,2)</f>
        <v>0</v>
      </c>
      <c r="E236" s="83">
        <f t="shared" si="170"/>
        <v>1449000</v>
      </c>
      <c r="F236" s="83">
        <f t="shared" si="170"/>
        <v>9706000</v>
      </c>
      <c r="G236" s="83">
        <f t="shared" si="170"/>
        <v>0</v>
      </c>
      <c r="H236" s="83">
        <f t="shared" si="170"/>
        <v>0</v>
      </c>
      <c r="I236" s="83">
        <f t="shared" si="170"/>
        <v>0</v>
      </c>
    </row>
    <row r="237" spans="1:13" s="91" customFormat="1" ht="27" x14ac:dyDescent="0.25">
      <c r="A237" s="91">
        <v>5</v>
      </c>
      <c r="B237" s="32" t="s">
        <v>285</v>
      </c>
      <c r="C237" s="33">
        <f t="shared" si="165"/>
        <v>8000000</v>
      </c>
      <c r="D237" s="35">
        <v>0</v>
      </c>
      <c r="E237" s="34">
        <v>1000000</v>
      </c>
      <c r="F237" s="34">
        <v>2000000</v>
      </c>
      <c r="G237" s="34">
        <v>2000000</v>
      </c>
      <c r="H237" s="34">
        <v>2000000</v>
      </c>
      <c r="I237" s="34">
        <v>1000000</v>
      </c>
    </row>
    <row r="238" spans="1:13" s="1" customFormat="1" ht="13.5" x14ac:dyDescent="0.25">
      <c r="B238" s="29" t="s">
        <v>23</v>
      </c>
      <c r="C238" s="81">
        <f t="shared" si="165"/>
        <v>1840000</v>
      </c>
      <c r="D238" s="82">
        <f t="shared" ref="D238:I238" si="171">ROUND(D237*0.23,2)</f>
        <v>0</v>
      </c>
      <c r="E238" s="83">
        <f t="shared" si="171"/>
        <v>230000</v>
      </c>
      <c r="F238" s="83">
        <f t="shared" si="171"/>
        <v>460000</v>
      </c>
      <c r="G238" s="83">
        <f t="shared" si="171"/>
        <v>460000</v>
      </c>
      <c r="H238" s="83">
        <f t="shared" si="171"/>
        <v>460000</v>
      </c>
      <c r="I238" s="83">
        <f t="shared" si="171"/>
        <v>230000</v>
      </c>
    </row>
    <row r="239" spans="1:13" s="91" customFormat="1" ht="27.75" customHeight="1" x14ac:dyDescent="0.25">
      <c r="A239" s="91">
        <v>6</v>
      </c>
      <c r="B239" s="32" t="s">
        <v>395</v>
      </c>
      <c r="C239" s="33">
        <f t="shared" si="165"/>
        <v>3000000</v>
      </c>
      <c r="D239" s="35">
        <v>0</v>
      </c>
      <c r="E239" s="34">
        <v>0</v>
      </c>
      <c r="F239" s="34">
        <v>500000</v>
      </c>
      <c r="G239" s="34">
        <v>1000000</v>
      </c>
      <c r="H239" s="34">
        <v>1000000</v>
      </c>
      <c r="I239" s="34">
        <v>500000</v>
      </c>
    </row>
    <row r="240" spans="1:13" s="1" customFormat="1" ht="13.5" x14ac:dyDescent="0.25">
      <c r="B240" s="29" t="s">
        <v>23</v>
      </c>
      <c r="C240" s="81">
        <f t="shared" si="165"/>
        <v>690000</v>
      </c>
      <c r="D240" s="82">
        <f t="shared" ref="D240:I240" si="172">ROUND(D239*0.23,2)</f>
        <v>0</v>
      </c>
      <c r="E240" s="83">
        <f t="shared" si="172"/>
        <v>0</v>
      </c>
      <c r="F240" s="83">
        <f t="shared" si="172"/>
        <v>115000</v>
      </c>
      <c r="G240" s="83">
        <f t="shared" si="172"/>
        <v>230000</v>
      </c>
      <c r="H240" s="83">
        <f t="shared" si="172"/>
        <v>230000</v>
      </c>
      <c r="I240" s="83">
        <f t="shared" si="172"/>
        <v>115000</v>
      </c>
    </row>
    <row r="241" spans="1:10" s="91" customFormat="1" ht="13.5" x14ac:dyDescent="0.25">
      <c r="A241" s="91">
        <v>7</v>
      </c>
      <c r="B241" s="32" t="s">
        <v>286</v>
      </c>
      <c r="C241" s="33">
        <f t="shared" si="165"/>
        <v>2700000</v>
      </c>
      <c r="D241" s="35"/>
      <c r="E241" s="34">
        <v>400000</v>
      </c>
      <c r="F241" s="34">
        <v>750000</v>
      </c>
      <c r="G241" s="34">
        <v>750000</v>
      </c>
      <c r="H241" s="34">
        <v>400000</v>
      </c>
      <c r="I241" s="34">
        <v>400000</v>
      </c>
    </row>
    <row r="242" spans="1:10" s="1" customFormat="1" ht="13.5" x14ac:dyDescent="0.25">
      <c r="B242" s="29" t="s">
        <v>23</v>
      </c>
      <c r="C242" s="81">
        <f t="shared" si="165"/>
        <v>621000</v>
      </c>
      <c r="D242" s="82">
        <f t="shared" ref="D242:I242" si="173">ROUND(D241*0.23,2)</f>
        <v>0</v>
      </c>
      <c r="E242" s="82">
        <f t="shared" si="173"/>
        <v>92000</v>
      </c>
      <c r="F242" s="82">
        <f t="shared" si="173"/>
        <v>172500</v>
      </c>
      <c r="G242" s="82">
        <f t="shared" si="173"/>
        <v>172500</v>
      </c>
      <c r="H242" s="82">
        <f t="shared" si="173"/>
        <v>92000</v>
      </c>
      <c r="I242" s="82">
        <f t="shared" si="173"/>
        <v>92000</v>
      </c>
    </row>
    <row r="243" spans="1:10" s="91" customFormat="1" ht="27" x14ac:dyDescent="0.25">
      <c r="A243" s="91">
        <v>8</v>
      </c>
      <c r="B243" s="32" t="s">
        <v>399</v>
      </c>
      <c r="C243" s="33">
        <f t="shared" si="165"/>
        <v>11500000</v>
      </c>
      <c r="D243" s="35">
        <v>0</v>
      </c>
      <c r="E243" s="34">
        <v>1500000</v>
      </c>
      <c r="F243" s="34">
        <v>3000000</v>
      </c>
      <c r="G243" s="34">
        <v>3000000</v>
      </c>
      <c r="H243" s="34">
        <v>3000000</v>
      </c>
      <c r="I243" s="34">
        <v>1000000</v>
      </c>
    </row>
    <row r="244" spans="1:10" s="1" customFormat="1" ht="13.5" x14ac:dyDescent="0.25">
      <c r="B244" s="29" t="s">
        <v>23</v>
      </c>
      <c r="C244" s="81">
        <f t="shared" si="165"/>
        <v>2645000</v>
      </c>
      <c r="D244" s="82">
        <f t="shared" ref="D244:I244" si="174">ROUND(D243*0.23,2)</f>
        <v>0</v>
      </c>
      <c r="E244" s="83">
        <f t="shared" si="174"/>
        <v>345000</v>
      </c>
      <c r="F244" s="83">
        <f t="shared" si="174"/>
        <v>690000</v>
      </c>
      <c r="G244" s="83">
        <f t="shared" si="174"/>
        <v>690000</v>
      </c>
      <c r="H244" s="83">
        <f t="shared" si="174"/>
        <v>690000</v>
      </c>
      <c r="I244" s="83">
        <f t="shared" si="174"/>
        <v>230000</v>
      </c>
    </row>
    <row r="245" spans="1:10" s="91" customFormat="1" ht="27" x14ac:dyDescent="0.25">
      <c r="A245" s="91">
        <v>9</v>
      </c>
      <c r="B245" s="32" t="s">
        <v>427</v>
      </c>
      <c r="C245" s="33">
        <f t="shared" si="165"/>
        <v>4600000</v>
      </c>
      <c r="D245" s="35">
        <v>0</v>
      </c>
      <c r="E245" s="34">
        <v>500000</v>
      </c>
      <c r="F245" s="34">
        <v>2600000</v>
      </c>
      <c r="G245" s="34">
        <v>1500000</v>
      </c>
      <c r="H245" s="34">
        <v>0</v>
      </c>
      <c r="I245" s="34">
        <v>0</v>
      </c>
    </row>
    <row r="246" spans="1:10" s="1" customFormat="1" ht="13.5" x14ac:dyDescent="0.25">
      <c r="B246" s="29" t="s">
        <v>23</v>
      </c>
      <c r="C246" s="81">
        <f t="shared" si="165"/>
        <v>1058000</v>
      </c>
      <c r="D246" s="82">
        <f t="shared" ref="D246:I246" si="175">ROUND(D245*0.23,2)</f>
        <v>0</v>
      </c>
      <c r="E246" s="83">
        <f t="shared" si="175"/>
        <v>115000</v>
      </c>
      <c r="F246" s="83">
        <f t="shared" si="175"/>
        <v>598000</v>
      </c>
      <c r="G246" s="83">
        <f t="shared" si="175"/>
        <v>345000</v>
      </c>
      <c r="H246" s="83">
        <f t="shared" si="175"/>
        <v>0</v>
      </c>
      <c r="I246" s="83">
        <f t="shared" si="175"/>
        <v>0</v>
      </c>
    </row>
    <row r="247" spans="1:10" s="91" customFormat="1" ht="27" x14ac:dyDescent="0.25">
      <c r="A247" s="91">
        <v>10</v>
      </c>
      <c r="B247" s="37" t="s">
        <v>292</v>
      </c>
      <c r="C247" s="33">
        <f>SUM(D247:I247)</f>
        <v>45250000</v>
      </c>
      <c r="D247" s="35">
        <v>0</v>
      </c>
      <c r="E247" s="34">
        <f>6000000+5250000</f>
        <v>11250000</v>
      </c>
      <c r="F247" s="34">
        <v>9000000</v>
      </c>
      <c r="G247" s="34">
        <v>9000000</v>
      </c>
      <c r="H247" s="34">
        <v>9000000</v>
      </c>
      <c r="I247" s="34">
        <v>7000000</v>
      </c>
      <c r="J247" s="91" t="s">
        <v>358</v>
      </c>
    </row>
    <row r="248" spans="1:10" s="1" customFormat="1" ht="13.5" x14ac:dyDescent="0.25">
      <c r="B248" s="29" t="s">
        <v>23</v>
      </c>
      <c r="C248" s="81">
        <f>SUM(D248:I248)</f>
        <v>10407500</v>
      </c>
      <c r="D248" s="82">
        <f t="shared" ref="D248:I248" si="176">ROUND(D247*0.23,2)</f>
        <v>0</v>
      </c>
      <c r="E248" s="83">
        <f t="shared" si="176"/>
        <v>2587500</v>
      </c>
      <c r="F248" s="83">
        <f t="shared" si="176"/>
        <v>2070000</v>
      </c>
      <c r="G248" s="83">
        <f t="shared" si="176"/>
        <v>2070000</v>
      </c>
      <c r="H248" s="83">
        <f t="shared" si="176"/>
        <v>2070000</v>
      </c>
      <c r="I248" s="83">
        <f t="shared" si="176"/>
        <v>1610000</v>
      </c>
    </row>
    <row r="249" spans="1:10" s="91" customFormat="1" ht="13.5" x14ac:dyDescent="0.25">
      <c r="A249" s="91">
        <v>11</v>
      </c>
      <c r="B249" s="32" t="s">
        <v>287</v>
      </c>
      <c r="C249" s="33">
        <f t="shared" si="165"/>
        <v>3100000</v>
      </c>
      <c r="D249" s="35">
        <v>0</v>
      </c>
      <c r="E249" s="34">
        <v>0</v>
      </c>
      <c r="F249" s="34">
        <v>500000</v>
      </c>
      <c r="G249" s="34">
        <v>1000000</v>
      </c>
      <c r="H249" s="34">
        <v>1000000</v>
      </c>
      <c r="I249" s="34">
        <v>600000</v>
      </c>
    </row>
    <row r="250" spans="1:10" s="1" customFormat="1" ht="13.5" x14ac:dyDescent="0.25">
      <c r="B250" s="29" t="s">
        <v>23</v>
      </c>
      <c r="C250" s="81">
        <f t="shared" si="165"/>
        <v>713000</v>
      </c>
      <c r="D250" s="82">
        <f t="shared" ref="D250:I250" si="177">ROUND(D249*0.23,2)</f>
        <v>0</v>
      </c>
      <c r="E250" s="83">
        <f t="shared" si="177"/>
        <v>0</v>
      </c>
      <c r="F250" s="83">
        <f t="shared" si="177"/>
        <v>115000</v>
      </c>
      <c r="G250" s="83">
        <f t="shared" si="177"/>
        <v>230000</v>
      </c>
      <c r="H250" s="83">
        <f t="shared" si="177"/>
        <v>230000</v>
      </c>
      <c r="I250" s="83">
        <f t="shared" si="177"/>
        <v>138000</v>
      </c>
    </row>
    <row r="251" spans="1:10" s="91" customFormat="1" ht="40.5" x14ac:dyDescent="0.25">
      <c r="A251" s="91">
        <v>12</v>
      </c>
      <c r="B251" s="32" t="s">
        <v>442</v>
      </c>
      <c r="C251" s="33">
        <f t="shared" ref="C251:C252" si="178">SUM(D251:I251)</f>
        <v>2600000</v>
      </c>
      <c r="D251" s="35">
        <v>0</v>
      </c>
      <c r="E251" s="34">
        <v>1300000</v>
      </c>
      <c r="F251" s="34">
        <v>1300000</v>
      </c>
      <c r="G251" s="34">
        <v>0</v>
      </c>
      <c r="H251" s="34">
        <v>0</v>
      </c>
      <c r="I251" s="34">
        <v>0</v>
      </c>
    </row>
    <row r="252" spans="1:10" s="1" customFormat="1" ht="13.5" x14ac:dyDescent="0.25">
      <c r="B252" s="29" t="s">
        <v>23</v>
      </c>
      <c r="C252" s="81">
        <f t="shared" si="178"/>
        <v>598000</v>
      </c>
      <c r="D252" s="82">
        <f t="shared" ref="D252:I252" si="179">ROUND(D251*0.23,2)</f>
        <v>0</v>
      </c>
      <c r="E252" s="83">
        <f t="shared" si="179"/>
        <v>299000</v>
      </c>
      <c r="F252" s="83">
        <f t="shared" si="179"/>
        <v>299000</v>
      </c>
      <c r="G252" s="83">
        <f t="shared" si="179"/>
        <v>0</v>
      </c>
      <c r="H252" s="83">
        <f t="shared" si="179"/>
        <v>0</v>
      </c>
      <c r="I252" s="83">
        <f t="shared" si="179"/>
        <v>0</v>
      </c>
    </row>
    <row r="253" spans="1:10" s="91" customFormat="1" ht="13.5" x14ac:dyDescent="0.25">
      <c r="A253" s="91">
        <v>13</v>
      </c>
      <c r="B253" s="32" t="s">
        <v>288</v>
      </c>
      <c r="C253" s="33">
        <f t="shared" si="165"/>
        <v>1000000</v>
      </c>
      <c r="D253" s="35">
        <v>0</v>
      </c>
      <c r="E253" s="34">
        <v>0</v>
      </c>
      <c r="F253" s="34">
        <v>0</v>
      </c>
      <c r="G253" s="34">
        <v>300000</v>
      </c>
      <c r="H253" s="34">
        <v>400000</v>
      </c>
      <c r="I253" s="34">
        <v>300000</v>
      </c>
    </row>
    <row r="254" spans="1:10" s="1" customFormat="1" ht="13.5" x14ac:dyDescent="0.25">
      <c r="B254" s="29" t="s">
        <v>23</v>
      </c>
      <c r="C254" s="81">
        <f t="shared" si="165"/>
        <v>230000</v>
      </c>
      <c r="D254" s="82">
        <f t="shared" ref="D254:I254" si="180">ROUND(D253*0.23,2)</f>
        <v>0</v>
      </c>
      <c r="E254" s="83">
        <f t="shared" si="180"/>
        <v>0</v>
      </c>
      <c r="F254" s="83">
        <f t="shared" si="180"/>
        <v>0</v>
      </c>
      <c r="G254" s="83">
        <f t="shared" si="180"/>
        <v>69000</v>
      </c>
      <c r="H254" s="83">
        <f t="shared" si="180"/>
        <v>92000</v>
      </c>
      <c r="I254" s="83">
        <f t="shared" si="180"/>
        <v>69000</v>
      </c>
    </row>
    <row r="255" spans="1:10" s="91" customFormat="1" ht="27" x14ac:dyDescent="0.25">
      <c r="A255" s="91">
        <v>14</v>
      </c>
      <c r="B255" s="32" t="s">
        <v>393</v>
      </c>
      <c r="C255" s="33">
        <f t="shared" si="165"/>
        <v>30100000</v>
      </c>
      <c r="D255" s="35">
        <v>0</v>
      </c>
      <c r="E255" s="34">
        <v>3400000</v>
      </c>
      <c r="F255" s="34">
        <f>4000000+5700000</f>
        <v>9700000</v>
      </c>
      <c r="G255" s="34">
        <v>7200000</v>
      </c>
      <c r="H255" s="34">
        <v>6000000</v>
      </c>
      <c r="I255" s="34">
        <v>3800000</v>
      </c>
    </row>
    <row r="256" spans="1:10" s="1" customFormat="1" ht="13.5" x14ac:dyDescent="0.25">
      <c r="B256" s="29" t="s">
        <v>23</v>
      </c>
      <c r="C256" s="81">
        <f t="shared" si="165"/>
        <v>6923000</v>
      </c>
      <c r="D256" s="82">
        <f t="shared" ref="D256:I256" si="181">ROUND(D255*0.23,2)</f>
        <v>0</v>
      </c>
      <c r="E256" s="83">
        <f t="shared" si="181"/>
        <v>782000</v>
      </c>
      <c r="F256" s="83">
        <f t="shared" si="181"/>
        <v>2231000</v>
      </c>
      <c r="G256" s="83">
        <f t="shared" si="181"/>
        <v>1656000</v>
      </c>
      <c r="H256" s="83">
        <f t="shared" si="181"/>
        <v>1380000</v>
      </c>
      <c r="I256" s="83">
        <f t="shared" si="181"/>
        <v>874000</v>
      </c>
    </row>
    <row r="257" spans="1:10" s="91" customFormat="1" ht="13.5" x14ac:dyDescent="0.25">
      <c r="A257" s="91">
        <v>15</v>
      </c>
      <c r="B257" s="32" t="s">
        <v>434</v>
      </c>
      <c r="C257" s="33">
        <f t="shared" ref="C257:C258" si="182">SUM(D257:I257)</f>
        <v>5000000</v>
      </c>
      <c r="D257" s="35">
        <v>0</v>
      </c>
      <c r="E257" s="34">
        <v>1000000</v>
      </c>
      <c r="F257" s="34">
        <v>1000000</v>
      </c>
      <c r="G257" s="34">
        <v>1000000</v>
      </c>
      <c r="H257" s="34">
        <v>1000000</v>
      </c>
      <c r="I257" s="34">
        <v>1000000</v>
      </c>
    </row>
    <row r="258" spans="1:10" s="1" customFormat="1" ht="13.5" x14ac:dyDescent="0.25">
      <c r="B258" s="29" t="s">
        <v>23</v>
      </c>
      <c r="C258" s="81">
        <f t="shared" si="182"/>
        <v>1150000</v>
      </c>
      <c r="D258" s="82">
        <f t="shared" ref="D258:I258" si="183">ROUND(D257*0.23,2)</f>
        <v>0</v>
      </c>
      <c r="E258" s="83">
        <f t="shared" si="183"/>
        <v>230000</v>
      </c>
      <c r="F258" s="83">
        <f t="shared" si="183"/>
        <v>230000</v>
      </c>
      <c r="G258" s="83">
        <f t="shared" si="183"/>
        <v>230000</v>
      </c>
      <c r="H258" s="83">
        <f t="shared" si="183"/>
        <v>230000</v>
      </c>
      <c r="I258" s="83">
        <f t="shared" si="183"/>
        <v>230000</v>
      </c>
    </row>
    <row r="259" spans="1:10" s="91" customFormat="1" ht="40.5" x14ac:dyDescent="0.25">
      <c r="A259" s="91">
        <v>15</v>
      </c>
      <c r="B259" s="32" t="s">
        <v>438</v>
      </c>
      <c r="C259" s="33">
        <f t="shared" si="165"/>
        <v>8200000</v>
      </c>
      <c r="D259" s="35">
        <v>0</v>
      </c>
      <c r="E259" s="34">
        <f>500000+2500000</f>
        <v>3000000</v>
      </c>
      <c r="F259" s="34">
        <f>1000000+2500000</f>
        <v>3500000</v>
      </c>
      <c r="G259" s="34">
        <v>1000000</v>
      </c>
      <c r="H259" s="34">
        <v>400000</v>
      </c>
      <c r="I259" s="34">
        <v>300000</v>
      </c>
    </row>
    <row r="260" spans="1:10" s="1" customFormat="1" ht="13.5" x14ac:dyDescent="0.25">
      <c r="B260" s="29" t="s">
        <v>23</v>
      </c>
      <c r="C260" s="81">
        <f t="shared" si="165"/>
        <v>1886000</v>
      </c>
      <c r="D260" s="82">
        <f t="shared" ref="D260:I260" si="184">ROUND(D259*0.23,2)</f>
        <v>0</v>
      </c>
      <c r="E260" s="83">
        <f t="shared" si="184"/>
        <v>690000</v>
      </c>
      <c r="F260" s="83">
        <f t="shared" si="184"/>
        <v>805000</v>
      </c>
      <c r="G260" s="83">
        <f t="shared" si="184"/>
        <v>230000</v>
      </c>
      <c r="H260" s="83">
        <f t="shared" si="184"/>
        <v>92000</v>
      </c>
      <c r="I260" s="83">
        <f t="shared" si="184"/>
        <v>69000</v>
      </c>
    </row>
    <row r="261" spans="1:10" s="91" customFormat="1" ht="26.25" customHeight="1" x14ac:dyDescent="0.25">
      <c r="A261" s="91">
        <v>16</v>
      </c>
      <c r="B261" s="32" t="s">
        <v>290</v>
      </c>
      <c r="C261" s="33">
        <f t="shared" si="165"/>
        <v>3400000</v>
      </c>
      <c r="D261" s="35">
        <v>0</v>
      </c>
      <c r="E261" s="34">
        <v>400000</v>
      </c>
      <c r="F261" s="34">
        <v>800000</v>
      </c>
      <c r="G261" s="34">
        <v>1000000</v>
      </c>
      <c r="H261" s="34">
        <v>700000</v>
      </c>
      <c r="I261" s="34">
        <v>500000</v>
      </c>
    </row>
    <row r="262" spans="1:10" s="1" customFormat="1" ht="13.5" x14ac:dyDescent="0.25">
      <c r="B262" s="29" t="s">
        <v>23</v>
      </c>
      <c r="C262" s="81">
        <f t="shared" si="165"/>
        <v>782000</v>
      </c>
      <c r="D262" s="82">
        <f t="shared" ref="D262:I262" si="185">ROUND(D261*0.23,2)</f>
        <v>0</v>
      </c>
      <c r="E262" s="82">
        <f t="shared" si="185"/>
        <v>92000</v>
      </c>
      <c r="F262" s="82">
        <f t="shared" si="185"/>
        <v>184000</v>
      </c>
      <c r="G262" s="82">
        <f t="shared" si="185"/>
        <v>230000</v>
      </c>
      <c r="H262" s="82">
        <f t="shared" si="185"/>
        <v>161000</v>
      </c>
      <c r="I262" s="82">
        <f t="shared" si="185"/>
        <v>115000</v>
      </c>
    </row>
    <row r="263" spans="1:10" s="91" customFormat="1" ht="13.5" x14ac:dyDescent="0.25">
      <c r="A263" s="91">
        <v>17</v>
      </c>
      <c r="B263" s="32" t="s">
        <v>291</v>
      </c>
      <c r="C263" s="33">
        <f t="shared" si="165"/>
        <v>13600000</v>
      </c>
      <c r="D263" s="35">
        <v>0</v>
      </c>
      <c r="E263" s="34">
        <f>1900000</f>
        <v>1900000</v>
      </c>
      <c r="F263" s="34">
        <f>3200000+500000</f>
        <v>3700000</v>
      </c>
      <c r="G263" s="34">
        <f>3000000+1000000</f>
        <v>4000000</v>
      </c>
      <c r="H263" s="34">
        <f>2300000+700000</f>
        <v>3000000</v>
      </c>
      <c r="I263" s="34">
        <v>1000000</v>
      </c>
    </row>
    <row r="264" spans="1:10" s="1" customFormat="1" ht="13.5" x14ac:dyDescent="0.25">
      <c r="B264" s="29" t="s">
        <v>23</v>
      </c>
      <c r="C264" s="81">
        <f t="shared" si="165"/>
        <v>3128000</v>
      </c>
      <c r="D264" s="82">
        <f t="shared" ref="D264:I264" si="186">ROUND(D263*0.23,2)</f>
        <v>0</v>
      </c>
      <c r="E264" s="83">
        <f t="shared" si="186"/>
        <v>437000</v>
      </c>
      <c r="F264" s="83">
        <f t="shared" si="186"/>
        <v>851000</v>
      </c>
      <c r="G264" s="83">
        <f t="shared" si="186"/>
        <v>920000</v>
      </c>
      <c r="H264" s="83">
        <f t="shared" si="186"/>
        <v>690000</v>
      </c>
      <c r="I264" s="83">
        <f t="shared" si="186"/>
        <v>230000</v>
      </c>
    </row>
    <row r="265" spans="1:10" s="91" customFormat="1" ht="40.5" x14ac:dyDescent="0.25">
      <c r="A265" s="91">
        <v>18</v>
      </c>
      <c r="B265" s="32" t="s">
        <v>433</v>
      </c>
      <c r="C265" s="33">
        <f t="shared" ref="C265:C266" si="187">SUM(D265:I265)</f>
        <v>3750000</v>
      </c>
      <c r="D265" s="35">
        <v>0</v>
      </c>
      <c r="E265" s="34">
        <v>3750000</v>
      </c>
      <c r="F265" s="34">
        <v>0</v>
      </c>
      <c r="G265" s="34">
        <v>0</v>
      </c>
      <c r="H265" s="34">
        <v>0</v>
      </c>
      <c r="I265" s="34">
        <v>0</v>
      </c>
      <c r="J265" s="91">
        <v>25</v>
      </c>
    </row>
    <row r="266" spans="1:10" s="1" customFormat="1" ht="13.5" x14ac:dyDescent="0.25">
      <c r="B266" s="29" t="s">
        <v>23</v>
      </c>
      <c r="C266" s="81">
        <f t="shared" si="187"/>
        <v>862500</v>
      </c>
      <c r="D266" s="82">
        <f t="shared" ref="D266:I266" si="188">ROUND(D265*0.23,2)</f>
        <v>0</v>
      </c>
      <c r="E266" s="83">
        <f t="shared" si="188"/>
        <v>862500</v>
      </c>
      <c r="F266" s="34">
        <f t="shared" si="188"/>
        <v>0</v>
      </c>
      <c r="G266" s="83">
        <f t="shared" si="188"/>
        <v>0</v>
      </c>
      <c r="H266" s="83">
        <f t="shared" si="188"/>
        <v>0</v>
      </c>
      <c r="I266" s="83">
        <f t="shared" si="188"/>
        <v>0</v>
      </c>
    </row>
    <row r="267" spans="1:10" s="91" customFormat="1" ht="27" x14ac:dyDescent="0.25">
      <c r="A267" s="91">
        <v>19</v>
      </c>
      <c r="B267" s="32" t="s">
        <v>367</v>
      </c>
      <c r="C267" s="33">
        <f t="shared" ref="C267:C268" si="189">SUM(D267:I267)</f>
        <v>1000000</v>
      </c>
      <c r="D267" s="35">
        <v>0</v>
      </c>
      <c r="E267" s="34">
        <v>1000000</v>
      </c>
      <c r="F267" s="34">
        <v>0</v>
      </c>
      <c r="G267" s="34">
        <v>0</v>
      </c>
      <c r="H267" s="34">
        <v>0</v>
      </c>
      <c r="I267" s="34">
        <v>0</v>
      </c>
      <c r="J267" s="91">
        <v>7</v>
      </c>
    </row>
    <row r="268" spans="1:10" s="92" customFormat="1" ht="13.5" x14ac:dyDescent="0.25">
      <c r="B268" s="29" t="s">
        <v>23</v>
      </c>
      <c r="C268" s="30">
        <f t="shared" si="189"/>
        <v>230000</v>
      </c>
      <c r="D268" s="31">
        <f t="shared" ref="D268:I268" si="190">ROUND(D267*0.23,2)</f>
        <v>0</v>
      </c>
      <c r="E268" s="36">
        <f t="shared" si="190"/>
        <v>230000</v>
      </c>
      <c r="F268" s="36">
        <f t="shared" si="190"/>
        <v>0</v>
      </c>
      <c r="G268" s="36">
        <f t="shared" si="190"/>
        <v>0</v>
      </c>
      <c r="H268" s="36">
        <f t="shared" si="190"/>
        <v>0</v>
      </c>
      <c r="I268" s="36">
        <f t="shared" si="190"/>
        <v>0</v>
      </c>
    </row>
    <row r="269" spans="1:10" s="91" customFormat="1" ht="27" x14ac:dyDescent="0.25">
      <c r="A269" s="91">
        <v>20</v>
      </c>
      <c r="B269" s="32" t="s">
        <v>426</v>
      </c>
      <c r="C269" s="33">
        <f t="shared" ref="C269:C270" si="191">SUM(D269:I269)</f>
        <v>4000000</v>
      </c>
      <c r="D269" s="35">
        <v>0</v>
      </c>
      <c r="E269" s="34">
        <v>2000000</v>
      </c>
      <c r="F269" s="34">
        <v>2000000</v>
      </c>
      <c r="G269" s="34">
        <v>0</v>
      </c>
      <c r="H269" s="34">
        <v>0</v>
      </c>
      <c r="I269" s="34">
        <v>0</v>
      </c>
    </row>
    <row r="270" spans="1:10" s="92" customFormat="1" ht="13.5" x14ac:dyDescent="0.25">
      <c r="B270" s="29" t="s">
        <v>23</v>
      </c>
      <c r="C270" s="30">
        <f t="shared" si="191"/>
        <v>920000</v>
      </c>
      <c r="D270" s="31">
        <f t="shared" ref="D270:I270" si="192">ROUND(D269*0.23,2)</f>
        <v>0</v>
      </c>
      <c r="E270" s="36">
        <f t="shared" si="192"/>
        <v>460000</v>
      </c>
      <c r="F270" s="36">
        <f t="shared" si="192"/>
        <v>460000</v>
      </c>
      <c r="G270" s="36">
        <f t="shared" si="192"/>
        <v>0</v>
      </c>
      <c r="H270" s="36">
        <f t="shared" si="192"/>
        <v>0</v>
      </c>
      <c r="I270" s="36">
        <f t="shared" si="192"/>
        <v>0</v>
      </c>
    </row>
    <row r="271" spans="1:10" s="1" customFormat="1" ht="13.5" x14ac:dyDescent="0.25">
      <c r="A271" s="1">
        <v>21</v>
      </c>
      <c r="B271" s="37" t="s">
        <v>24</v>
      </c>
      <c r="C271" s="33">
        <f>SUM(D271:I271)</f>
        <v>5237000</v>
      </c>
      <c r="D271" s="35">
        <f>ROUND(SUM(D265,D263,D261,D259,D255,D253,D251,D249,D247,D245,D243,D241,D239,D237,D235,D233)*2.5%,-3)</f>
        <v>102000</v>
      </c>
      <c r="E271" s="35">
        <f t="shared" ref="E271:I271" si="193">ROUND(SUM(E265,E263,E261,E259,E255,E253,E251,E249,E247,E245,E243,E241,E239,E237,E235,E233)*2.5%,-3)</f>
        <v>974000</v>
      </c>
      <c r="F271" s="35">
        <f t="shared" si="193"/>
        <v>2079000</v>
      </c>
      <c r="G271" s="35">
        <f t="shared" si="193"/>
        <v>866000</v>
      </c>
      <c r="H271" s="35">
        <f t="shared" si="193"/>
        <v>745000</v>
      </c>
      <c r="I271" s="35">
        <f t="shared" si="193"/>
        <v>471000</v>
      </c>
    </row>
    <row r="272" spans="1:10" s="1" customFormat="1" ht="13.5" x14ac:dyDescent="0.25">
      <c r="B272" s="29" t="s">
        <v>23</v>
      </c>
      <c r="C272" s="81">
        <f t="shared" si="165"/>
        <v>1204510</v>
      </c>
      <c r="D272" s="82">
        <f t="shared" ref="D272:I272" si="194">ROUND(D271*0.23,2)</f>
        <v>23460</v>
      </c>
      <c r="E272" s="83">
        <f t="shared" si="194"/>
        <v>224020</v>
      </c>
      <c r="F272" s="83">
        <f t="shared" si="194"/>
        <v>478170</v>
      </c>
      <c r="G272" s="83">
        <f t="shared" si="194"/>
        <v>199180</v>
      </c>
      <c r="H272" s="83">
        <f t="shared" si="194"/>
        <v>171350</v>
      </c>
      <c r="I272" s="83">
        <f t="shared" si="194"/>
        <v>108330</v>
      </c>
    </row>
    <row r="273" spans="1:33" s="1" customFormat="1" ht="13.5" x14ac:dyDescent="0.25">
      <c r="A273" s="1">
        <v>22</v>
      </c>
      <c r="B273" s="37" t="s">
        <v>25</v>
      </c>
      <c r="C273" s="33">
        <f t="shared" si="165"/>
        <v>2096000</v>
      </c>
      <c r="D273" s="33">
        <f>ROUND(SUM(D265,D263,D261,D259,D255,D253,D251,D249,D247,D245,D243,D241,D239,D237,D235,D233)*1%,-3)</f>
        <v>41000</v>
      </c>
      <c r="E273" s="33">
        <f t="shared" ref="E273:I273" si="195">ROUND(SUM(E265,E263,E261,E259,E255,E253,E251,E249,E247,E245,E243,E241,E239,E237,E235,E233)*1%,-3)</f>
        <v>390000</v>
      </c>
      <c r="F273" s="33">
        <f t="shared" si="195"/>
        <v>832000</v>
      </c>
      <c r="G273" s="33">
        <f t="shared" si="195"/>
        <v>347000</v>
      </c>
      <c r="H273" s="33">
        <f t="shared" si="195"/>
        <v>298000</v>
      </c>
      <c r="I273" s="33">
        <f t="shared" si="195"/>
        <v>188000</v>
      </c>
    </row>
    <row r="274" spans="1:33" s="1" customFormat="1" ht="14.25" thickBot="1" x14ac:dyDescent="0.3">
      <c r="B274" s="38" t="s">
        <v>23</v>
      </c>
      <c r="C274" s="85">
        <f t="shared" si="165"/>
        <v>482080</v>
      </c>
      <c r="D274" s="86">
        <f t="shared" ref="D274:I274" si="196">ROUND(D273*0.23,2)</f>
        <v>9430</v>
      </c>
      <c r="E274" s="87">
        <f t="shared" si="196"/>
        <v>89700</v>
      </c>
      <c r="F274" s="87">
        <f t="shared" si="196"/>
        <v>191360</v>
      </c>
      <c r="G274" s="87">
        <f t="shared" si="196"/>
        <v>79810</v>
      </c>
      <c r="H274" s="87">
        <f t="shared" si="196"/>
        <v>68540</v>
      </c>
      <c r="I274" s="87">
        <f t="shared" si="196"/>
        <v>43240</v>
      </c>
    </row>
    <row r="275" spans="1:33" s="1" customFormat="1" ht="13.5" x14ac:dyDescent="0.25">
      <c r="A275" s="1">
        <v>23</v>
      </c>
      <c r="B275" s="42" t="s">
        <v>26</v>
      </c>
      <c r="C275" s="43">
        <f>C229+C231+C233+C235+C237+C239+C241+C243+C245+C247+C249+C251+C253+C255+C257+C259+C261+C263+C265+C267+C269+C271+C273</f>
        <v>228542098</v>
      </c>
      <c r="D275" s="43">
        <f t="shared" ref="D275:I275" si="197">D229+D231+D233+D235+D237+D239+D241+D243+D245+D247+D249+D251+D253+D255+D257+D259+D261+D263+D265+D267+D269+D271+D273</f>
        <v>4720100</v>
      </c>
      <c r="E275" s="43">
        <f t="shared" si="197"/>
        <v>45564000</v>
      </c>
      <c r="F275" s="43">
        <f t="shared" si="197"/>
        <v>89061000</v>
      </c>
      <c r="G275" s="43">
        <f t="shared" si="197"/>
        <v>36868411</v>
      </c>
      <c r="H275" s="43">
        <f t="shared" si="197"/>
        <v>31848411</v>
      </c>
      <c r="I275" s="43">
        <f t="shared" si="197"/>
        <v>20480176</v>
      </c>
    </row>
    <row r="276" spans="1:33" s="1" customFormat="1" ht="13.5" x14ac:dyDescent="0.25">
      <c r="B276" s="29" t="s">
        <v>27</v>
      </c>
      <c r="C276" s="44">
        <f t="shared" ref="C276:I276" si="198">C230+C232+C234+C238+C240+C242+C244+C246+C248+C250+C252+C254+C256+C260+C262+C264+C266+C272+C274+C268+C270</f>
        <v>40259682.539999999</v>
      </c>
      <c r="D276" s="44">
        <f t="shared" si="198"/>
        <v>1085623</v>
      </c>
      <c r="E276" s="44">
        <f t="shared" si="198"/>
        <v>8800720</v>
      </c>
      <c r="F276" s="44">
        <f t="shared" si="198"/>
        <v>10548030</v>
      </c>
      <c r="G276" s="44">
        <f t="shared" si="198"/>
        <v>8249734.5300000003</v>
      </c>
      <c r="H276" s="44">
        <f t="shared" si="198"/>
        <v>7095134.5300000003</v>
      </c>
      <c r="I276" s="44">
        <f t="shared" si="198"/>
        <v>4480440.4800000004</v>
      </c>
    </row>
    <row r="277" spans="1:33" s="1" customFormat="1" ht="13.5" x14ac:dyDescent="0.25">
      <c r="A277" s="1">
        <v>24</v>
      </c>
      <c r="B277" s="88" t="s">
        <v>28</v>
      </c>
      <c r="C277" s="45">
        <f>C275+C276</f>
        <v>268801780.54000002</v>
      </c>
      <c r="D277" s="45">
        <f t="shared" ref="D277:I277" si="199">D275+D276</f>
        <v>5805723</v>
      </c>
      <c r="E277" s="45">
        <f t="shared" si="199"/>
        <v>54364720</v>
      </c>
      <c r="F277" s="45">
        <f t="shared" si="199"/>
        <v>99609030</v>
      </c>
      <c r="G277" s="45">
        <f t="shared" si="199"/>
        <v>45118145.530000001</v>
      </c>
      <c r="H277" s="45">
        <f t="shared" si="199"/>
        <v>38943545.530000001</v>
      </c>
      <c r="I277" s="45">
        <f t="shared" si="199"/>
        <v>24960616.48</v>
      </c>
    </row>
    <row r="278" spans="1:33" s="1" customFormat="1" ht="13.5" x14ac:dyDescent="0.25">
      <c r="A278" s="1">
        <v>25</v>
      </c>
      <c r="B278" s="89" t="s">
        <v>29</v>
      </c>
      <c r="C278" s="50">
        <f>C277-C279</f>
        <v>228542098</v>
      </c>
      <c r="D278" s="50">
        <f t="shared" ref="D278:I278" si="200">D277-D279</f>
        <v>4720100</v>
      </c>
      <c r="E278" s="50">
        <f t="shared" si="200"/>
        <v>45564000</v>
      </c>
      <c r="F278" s="50">
        <f t="shared" si="200"/>
        <v>89061000</v>
      </c>
      <c r="G278" s="50">
        <f t="shared" si="200"/>
        <v>36868411</v>
      </c>
      <c r="H278" s="50">
        <f t="shared" si="200"/>
        <v>31848411</v>
      </c>
      <c r="I278" s="50">
        <f t="shared" si="200"/>
        <v>20480176</v>
      </c>
    </row>
    <row r="279" spans="1:33" s="1" customFormat="1" ht="14.25" thickBot="1" x14ac:dyDescent="0.3">
      <c r="A279" s="1">
        <v>26</v>
      </c>
      <c r="B279" s="49" t="s">
        <v>30</v>
      </c>
      <c r="C279" s="90">
        <f>SUM(D279:I279)</f>
        <v>40259682.540000007</v>
      </c>
      <c r="D279" s="90">
        <f>D276</f>
        <v>1085623</v>
      </c>
      <c r="E279" s="90">
        <f t="shared" ref="E279:I279" si="201">E276</f>
        <v>8800720</v>
      </c>
      <c r="F279" s="90">
        <f t="shared" si="201"/>
        <v>10548030</v>
      </c>
      <c r="G279" s="90">
        <f t="shared" si="201"/>
        <v>8249734.5300000003</v>
      </c>
      <c r="H279" s="90">
        <f t="shared" si="201"/>
        <v>7095134.5300000003</v>
      </c>
      <c r="I279" s="90">
        <f t="shared" si="201"/>
        <v>4480440.4800000004</v>
      </c>
    </row>
    <row r="280" spans="1:33" x14ac:dyDescent="0.2">
      <c r="B280" s="97"/>
      <c r="C280" s="97"/>
      <c r="G280" s="97"/>
      <c r="H280" s="97"/>
      <c r="I280" s="97"/>
      <c r="J280" s="97"/>
      <c r="K280" s="97"/>
      <c r="L280" s="97"/>
      <c r="M280" s="97"/>
      <c r="AA280" s="97"/>
      <c r="AB280" s="98"/>
      <c r="AG280" s="102"/>
    </row>
    <row r="281" spans="1:33" ht="15.75" x14ac:dyDescent="0.2">
      <c r="B281" s="233" t="s">
        <v>334</v>
      </c>
      <c r="C281" s="97"/>
      <c r="H281" s="97"/>
      <c r="J281" s="97"/>
      <c r="K281" s="97"/>
      <c r="M281" s="97"/>
      <c r="Y281" s="97"/>
      <c r="Z281" s="97"/>
      <c r="AC281" s="269"/>
      <c r="AG281" s="97"/>
    </row>
    <row r="282" spans="1:33" ht="13.5" x14ac:dyDescent="0.25">
      <c r="B282" s="20" t="s">
        <v>31</v>
      </c>
      <c r="C282" s="19">
        <v>2015</v>
      </c>
      <c r="D282" s="19">
        <f>C282+1</f>
        <v>2016</v>
      </c>
      <c r="E282" s="19">
        <f>D282+1</f>
        <v>2017</v>
      </c>
      <c r="F282" s="19">
        <f>E282+1</f>
        <v>2018</v>
      </c>
      <c r="G282" s="19">
        <f>F282+1</f>
        <v>2019</v>
      </c>
      <c r="H282" s="19">
        <f>G282+1</f>
        <v>2020</v>
      </c>
      <c r="I282" s="94"/>
      <c r="J282" s="94"/>
      <c r="K282" s="94"/>
      <c r="L282" s="94"/>
      <c r="M282" s="97"/>
      <c r="Y282" s="97"/>
    </row>
    <row r="283" spans="1:33" s="1" customFormat="1" ht="13.5" x14ac:dyDescent="0.25">
      <c r="B283" s="21" t="s">
        <v>284</v>
      </c>
      <c r="C283" s="22">
        <f t="shared" ref="C283:H283" si="202">SUM(D229,D231)</f>
        <v>500000</v>
      </c>
      <c r="D283" s="22">
        <f t="shared" si="202"/>
        <v>1250000</v>
      </c>
      <c r="E283" s="22">
        <f t="shared" si="202"/>
        <v>0</v>
      </c>
      <c r="F283" s="22">
        <f t="shared" si="202"/>
        <v>0</v>
      </c>
      <c r="G283" s="22">
        <f t="shared" si="202"/>
        <v>0</v>
      </c>
      <c r="H283" s="22">
        <f t="shared" si="202"/>
        <v>0</v>
      </c>
      <c r="I283" s="103">
        <f>SUM(C283:H283)</f>
        <v>1750000</v>
      </c>
      <c r="J283" s="104"/>
      <c r="K283" s="95"/>
      <c r="L283" s="105"/>
      <c r="AA283" s="106"/>
    </row>
    <row r="284" spans="1:33" s="1" customFormat="1" ht="13.5" x14ac:dyDescent="0.25">
      <c r="B284" s="21" t="s">
        <v>32</v>
      </c>
      <c r="C284" s="22">
        <f>SUM(D278:D278)-C283-C285</f>
        <v>4077100</v>
      </c>
      <c r="D284" s="22">
        <f t="shared" ref="D284:H284" si="203">SUM(E278:E278)-D283-D285</f>
        <v>42950000</v>
      </c>
      <c r="E284" s="22">
        <f t="shared" si="203"/>
        <v>86150000</v>
      </c>
      <c r="F284" s="22">
        <f t="shared" si="203"/>
        <v>35655411</v>
      </c>
      <c r="G284" s="22">
        <f t="shared" si="203"/>
        <v>30805411</v>
      </c>
      <c r="H284" s="22">
        <f t="shared" si="203"/>
        <v>19821176</v>
      </c>
      <c r="I284" s="103">
        <f>SUM(C284:H284)</f>
        <v>219459098</v>
      </c>
      <c r="J284" s="104"/>
      <c r="K284" s="104"/>
      <c r="L284" s="105"/>
      <c r="U284" s="106"/>
      <c r="AA284" s="106"/>
    </row>
    <row r="285" spans="1:33" s="1" customFormat="1" ht="13.5" x14ac:dyDescent="0.25">
      <c r="B285" s="21" t="s">
        <v>33</v>
      </c>
      <c r="C285" s="22">
        <f t="shared" ref="C285:H285" si="204">SUM(D271:D271,D273:D273)</f>
        <v>143000</v>
      </c>
      <c r="D285" s="22">
        <f t="shared" si="204"/>
        <v>1364000</v>
      </c>
      <c r="E285" s="22">
        <f t="shared" si="204"/>
        <v>2911000</v>
      </c>
      <c r="F285" s="22">
        <f t="shared" si="204"/>
        <v>1213000</v>
      </c>
      <c r="G285" s="22">
        <f t="shared" si="204"/>
        <v>1043000</v>
      </c>
      <c r="H285" s="22">
        <f t="shared" si="204"/>
        <v>659000</v>
      </c>
      <c r="I285" s="103">
        <f>SUM(C285:H285)</f>
        <v>7333000</v>
      </c>
      <c r="J285" s="104"/>
      <c r="K285" s="104"/>
      <c r="L285" s="104"/>
      <c r="R285" s="106"/>
      <c r="AA285" s="107"/>
    </row>
    <row r="286" spans="1:33" s="1" customFormat="1" ht="13.5" x14ac:dyDescent="0.25">
      <c r="B286" s="24" t="s">
        <v>34</v>
      </c>
      <c r="C286" s="23">
        <f t="shared" ref="C286:H286" si="205">SUM(C283:C285)</f>
        <v>4720100</v>
      </c>
      <c r="D286" s="23">
        <f t="shared" si="205"/>
        <v>45564000</v>
      </c>
      <c r="E286" s="23">
        <f t="shared" si="205"/>
        <v>89061000</v>
      </c>
      <c r="F286" s="23">
        <f t="shared" si="205"/>
        <v>36868411</v>
      </c>
      <c r="G286" s="23">
        <f t="shared" si="205"/>
        <v>31848411</v>
      </c>
      <c r="H286" s="23">
        <f t="shared" si="205"/>
        <v>20480176</v>
      </c>
      <c r="I286" s="103">
        <f>SUM(C286:H286)</f>
        <v>228542098</v>
      </c>
      <c r="J286" s="108"/>
      <c r="K286" s="107"/>
      <c r="L286" s="107"/>
    </row>
    <row r="287" spans="1:33" s="1" customFormat="1" ht="13.5" x14ac:dyDescent="0.25">
      <c r="C287" s="106"/>
      <c r="F287" s="109"/>
      <c r="I287" s="110"/>
      <c r="J287" s="108"/>
      <c r="K287" s="107"/>
      <c r="L287" s="107"/>
      <c r="M287" s="111"/>
    </row>
    <row r="288" spans="1:33" ht="15.75" x14ac:dyDescent="0.2">
      <c r="B288" s="233" t="s">
        <v>315</v>
      </c>
    </row>
    <row r="289" spans="2:34" s="1" customFormat="1" ht="13.5" x14ac:dyDescent="0.25">
      <c r="B289" s="20" t="s">
        <v>35</v>
      </c>
      <c r="C289" s="19">
        <v>2013</v>
      </c>
      <c r="D289" s="19">
        <f t="shared" ref="D289:AF289" si="206">C289+1</f>
        <v>2014</v>
      </c>
      <c r="E289" s="19">
        <f t="shared" si="206"/>
        <v>2015</v>
      </c>
      <c r="F289" s="19">
        <f t="shared" si="206"/>
        <v>2016</v>
      </c>
      <c r="G289" s="19">
        <f t="shared" si="206"/>
        <v>2017</v>
      </c>
      <c r="H289" s="19">
        <f t="shared" si="206"/>
        <v>2018</v>
      </c>
      <c r="I289" s="19">
        <f t="shared" si="206"/>
        <v>2019</v>
      </c>
      <c r="J289" s="19">
        <f t="shared" si="206"/>
        <v>2020</v>
      </c>
      <c r="K289" s="19">
        <f t="shared" si="206"/>
        <v>2021</v>
      </c>
      <c r="L289" s="19">
        <f t="shared" si="206"/>
        <v>2022</v>
      </c>
      <c r="M289" s="19">
        <f t="shared" si="206"/>
        <v>2023</v>
      </c>
      <c r="N289" s="19">
        <f t="shared" si="206"/>
        <v>2024</v>
      </c>
      <c r="O289" s="19">
        <f t="shared" si="206"/>
        <v>2025</v>
      </c>
      <c r="P289" s="19">
        <f t="shared" si="206"/>
        <v>2026</v>
      </c>
      <c r="Q289" s="19">
        <f t="shared" si="206"/>
        <v>2027</v>
      </c>
      <c r="R289" s="19">
        <f t="shared" si="206"/>
        <v>2028</v>
      </c>
      <c r="S289" s="19">
        <f t="shared" si="206"/>
        <v>2029</v>
      </c>
      <c r="T289" s="19">
        <f t="shared" si="206"/>
        <v>2030</v>
      </c>
      <c r="U289" s="19">
        <f t="shared" si="206"/>
        <v>2031</v>
      </c>
      <c r="V289" s="19">
        <f t="shared" si="206"/>
        <v>2032</v>
      </c>
      <c r="W289" s="19">
        <f t="shared" si="206"/>
        <v>2033</v>
      </c>
      <c r="X289" s="19">
        <f t="shared" si="206"/>
        <v>2034</v>
      </c>
      <c r="Y289" s="19">
        <f t="shared" si="206"/>
        <v>2035</v>
      </c>
      <c r="Z289" s="19">
        <f t="shared" si="206"/>
        <v>2036</v>
      </c>
      <c r="AA289" s="19">
        <f t="shared" si="206"/>
        <v>2037</v>
      </c>
      <c r="AB289" s="19">
        <f t="shared" si="206"/>
        <v>2038</v>
      </c>
      <c r="AC289" s="19">
        <f t="shared" si="206"/>
        <v>2039</v>
      </c>
      <c r="AD289" s="19">
        <f t="shared" si="206"/>
        <v>2040</v>
      </c>
      <c r="AE289" s="19">
        <f t="shared" si="206"/>
        <v>2041</v>
      </c>
      <c r="AF289" s="19">
        <f t="shared" si="206"/>
        <v>2042</v>
      </c>
      <c r="AG289" s="19">
        <f>AF289+1</f>
        <v>2043</v>
      </c>
      <c r="AH289" s="19">
        <f>AG289+1</f>
        <v>2044</v>
      </c>
    </row>
    <row r="290" spans="2:34" s="1" customFormat="1" ht="13.5" x14ac:dyDescent="0.25">
      <c r="B290" s="21" t="s">
        <v>310</v>
      </c>
      <c r="C290" s="14">
        <f>SUM(C291:C293)</f>
        <v>0</v>
      </c>
      <c r="D290" s="14">
        <f t="shared" ref="D290:AH290" si="207">SUM(D291:D293)</f>
        <v>0</v>
      </c>
      <c r="E290" s="14">
        <f t="shared" si="207"/>
        <v>0</v>
      </c>
      <c r="F290" s="14">
        <f t="shared" si="207"/>
        <v>0</v>
      </c>
      <c r="G290" s="14">
        <f t="shared" si="207"/>
        <v>0</v>
      </c>
      <c r="H290" s="14">
        <f t="shared" si="207"/>
        <v>0</v>
      </c>
      <c r="I290" s="14">
        <f t="shared" si="207"/>
        <v>0</v>
      </c>
      <c r="J290" s="14">
        <f t="shared" si="207"/>
        <v>0</v>
      </c>
      <c r="K290" s="14">
        <f t="shared" si="207"/>
        <v>0</v>
      </c>
      <c r="L290" s="14">
        <f t="shared" si="207"/>
        <v>0</v>
      </c>
      <c r="M290" s="14">
        <f t="shared" si="207"/>
        <v>0</v>
      </c>
      <c r="N290" s="14">
        <f t="shared" si="207"/>
        <v>0</v>
      </c>
      <c r="O290" s="14">
        <f t="shared" si="207"/>
        <v>0</v>
      </c>
      <c r="P290" s="14">
        <f t="shared" si="207"/>
        <v>0</v>
      </c>
      <c r="Q290" s="14">
        <f t="shared" si="207"/>
        <v>0</v>
      </c>
      <c r="R290" s="14">
        <f t="shared" si="207"/>
        <v>0</v>
      </c>
      <c r="S290" s="14">
        <f t="shared" si="207"/>
        <v>0</v>
      </c>
      <c r="T290" s="14">
        <f t="shared" si="207"/>
        <v>9881515.75</v>
      </c>
      <c r="U290" s="14">
        <f t="shared" si="207"/>
        <v>0</v>
      </c>
      <c r="V290" s="14">
        <f t="shared" si="207"/>
        <v>0</v>
      </c>
      <c r="W290" s="14">
        <f t="shared" si="207"/>
        <v>0</v>
      </c>
      <c r="X290" s="14">
        <f t="shared" si="207"/>
        <v>0</v>
      </c>
      <c r="Y290" s="14">
        <f t="shared" si="207"/>
        <v>9881515.75</v>
      </c>
      <c r="Z290" s="14">
        <f t="shared" si="207"/>
        <v>0</v>
      </c>
      <c r="AA290" s="14">
        <f t="shared" si="207"/>
        <v>0</v>
      </c>
      <c r="AB290" s="14">
        <f t="shared" si="207"/>
        <v>0</v>
      </c>
      <c r="AC290" s="14">
        <f t="shared" si="207"/>
        <v>0</v>
      </c>
      <c r="AD290" s="14">
        <f t="shared" si="207"/>
        <v>9881515.75</v>
      </c>
      <c r="AE290" s="14">
        <f t="shared" si="207"/>
        <v>0</v>
      </c>
      <c r="AF290" s="14">
        <f t="shared" si="207"/>
        <v>0</v>
      </c>
      <c r="AG290" s="14">
        <f t="shared" si="207"/>
        <v>0</v>
      </c>
      <c r="AH290" s="14">
        <f t="shared" si="207"/>
        <v>0</v>
      </c>
    </row>
    <row r="291" spans="2:34" s="92" customFormat="1" ht="13.5" x14ac:dyDescent="0.25">
      <c r="B291" s="112" t="s">
        <v>304</v>
      </c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>
        <f>5%*$I$222</f>
        <v>9881515.75</v>
      </c>
      <c r="U291" s="113"/>
      <c r="V291" s="113"/>
      <c r="W291" s="113"/>
      <c r="X291" s="113"/>
      <c r="Y291" s="113">
        <f>5%*$I$222</f>
        <v>9881515.75</v>
      </c>
      <c r="Z291" s="113"/>
      <c r="AA291" s="113"/>
      <c r="AB291" s="113"/>
      <c r="AC291" s="113"/>
      <c r="AD291" s="113">
        <f>5%*$I$222</f>
        <v>9881515.75</v>
      </c>
      <c r="AE291" s="113"/>
      <c r="AF291" s="113"/>
      <c r="AG291" s="113"/>
      <c r="AH291" s="113"/>
    </row>
    <row r="292" spans="2:34" s="92" customFormat="1" ht="13.5" x14ac:dyDescent="0.25">
      <c r="B292" s="112" t="s">
        <v>311</v>
      </c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</row>
    <row r="293" spans="2:34" s="92" customFormat="1" ht="13.5" x14ac:dyDescent="0.25">
      <c r="B293" s="112" t="s">
        <v>305</v>
      </c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</row>
    <row r="294" spans="2:34" s="1" customFormat="1" ht="13.5" x14ac:dyDescent="0.25">
      <c r="B294" s="21" t="s">
        <v>312</v>
      </c>
      <c r="C294" s="14">
        <f>SUM(C295:C297)</f>
        <v>0</v>
      </c>
      <c r="D294" s="14">
        <f t="shared" ref="D294:AH294" si="208">SUM(D295:D297)</f>
        <v>0</v>
      </c>
      <c r="E294" s="14">
        <f t="shared" si="208"/>
        <v>0</v>
      </c>
      <c r="F294" s="14">
        <f t="shared" si="208"/>
        <v>0</v>
      </c>
      <c r="G294" s="14">
        <f t="shared" si="208"/>
        <v>0</v>
      </c>
      <c r="H294" s="14">
        <f t="shared" si="208"/>
        <v>0</v>
      </c>
      <c r="I294" s="14">
        <f t="shared" si="208"/>
        <v>0</v>
      </c>
      <c r="J294" s="14">
        <f t="shared" si="208"/>
        <v>0</v>
      </c>
      <c r="K294" s="14">
        <f t="shared" si="208"/>
        <v>0</v>
      </c>
      <c r="L294" s="14">
        <f t="shared" si="208"/>
        <v>0</v>
      </c>
      <c r="M294" s="14">
        <f t="shared" si="208"/>
        <v>0</v>
      </c>
      <c r="N294" s="14">
        <f t="shared" si="208"/>
        <v>0</v>
      </c>
      <c r="O294" s="14">
        <f t="shared" si="208"/>
        <v>0</v>
      </c>
      <c r="P294" s="14">
        <f t="shared" si="208"/>
        <v>0</v>
      </c>
      <c r="Q294" s="14">
        <f t="shared" si="208"/>
        <v>0</v>
      </c>
      <c r="R294" s="14">
        <f t="shared" si="208"/>
        <v>0</v>
      </c>
      <c r="S294" s="14">
        <f t="shared" si="208"/>
        <v>0</v>
      </c>
      <c r="T294" s="14">
        <f t="shared" si="208"/>
        <v>10972954.9</v>
      </c>
      <c r="U294" s="14">
        <f t="shared" si="208"/>
        <v>0</v>
      </c>
      <c r="V294" s="14">
        <f t="shared" si="208"/>
        <v>0</v>
      </c>
      <c r="W294" s="14">
        <f t="shared" si="208"/>
        <v>0</v>
      </c>
      <c r="X294" s="14">
        <f t="shared" si="208"/>
        <v>0</v>
      </c>
      <c r="Y294" s="14">
        <f t="shared" si="208"/>
        <v>10972954.9</v>
      </c>
      <c r="Z294" s="14">
        <f t="shared" si="208"/>
        <v>42000000</v>
      </c>
      <c r="AA294" s="14">
        <f t="shared" si="208"/>
        <v>0</v>
      </c>
      <c r="AB294" s="14">
        <f t="shared" si="208"/>
        <v>0</v>
      </c>
      <c r="AC294" s="14">
        <f t="shared" si="208"/>
        <v>0</v>
      </c>
      <c r="AD294" s="14">
        <f t="shared" si="208"/>
        <v>10972954.9</v>
      </c>
      <c r="AE294" s="14">
        <f t="shared" si="208"/>
        <v>0</v>
      </c>
      <c r="AF294" s="14">
        <f t="shared" si="208"/>
        <v>0</v>
      </c>
      <c r="AG294" s="14">
        <f t="shared" si="208"/>
        <v>0</v>
      </c>
      <c r="AH294" s="14">
        <f t="shared" si="208"/>
        <v>0</v>
      </c>
    </row>
    <row r="295" spans="2:34" s="92" customFormat="1" ht="13.5" x14ac:dyDescent="0.25">
      <c r="B295" s="112" t="s">
        <v>304</v>
      </c>
      <c r="C295" s="113"/>
      <c r="D295" s="113"/>
      <c r="E295" s="113"/>
      <c r="F295" s="114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>
        <f>5%*$I$284</f>
        <v>10972954.9</v>
      </c>
      <c r="U295" s="113"/>
      <c r="V295" s="113"/>
      <c r="W295" s="113"/>
      <c r="X295" s="113"/>
      <c r="Y295" s="113">
        <f>5%*$I$284</f>
        <v>10972954.9</v>
      </c>
      <c r="Z295" s="113"/>
      <c r="AA295" s="113"/>
      <c r="AB295" s="113"/>
      <c r="AC295" s="113"/>
      <c r="AD295" s="113">
        <f>5%*$I$284</f>
        <v>10972954.9</v>
      </c>
      <c r="AE295" s="113"/>
      <c r="AF295" s="113"/>
      <c r="AG295" s="113"/>
      <c r="AH295" s="113"/>
    </row>
    <row r="296" spans="2:34" s="92" customFormat="1" ht="13.5" x14ac:dyDescent="0.25">
      <c r="B296" s="112" t="s">
        <v>311</v>
      </c>
      <c r="C296" s="113"/>
      <c r="D296" s="113"/>
      <c r="E296" s="113"/>
      <c r="F296" s="114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>
        <v>0</v>
      </c>
      <c r="Z296" s="113">
        <v>42000000</v>
      </c>
      <c r="AA296" s="113">
        <v>0</v>
      </c>
      <c r="AB296" s="113"/>
      <c r="AC296" s="113"/>
      <c r="AD296" s="113"/>
      <c r="AE296" s="113"/>
      <c r="AF296" s="113"/>
      <c r="AG296" s="113"/>
      <c r="AH296" s="113"/>
    </row>
    <row r="297" spans="2:34" s="92" customFormat="1" ht="13.5" x14ac:dyDescent="0.25">
      <c r="B297" s="112" t="s">
        <v>305</v>
      </c>
      <c r="C297" s="113"/>
      <c r="D297" s="113"/>
      <c r="E297" s="113"/>
      <c r="F297" s="114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</row>
    <row r="298" spans="2:34" s="1" customFormat="1" ht="13.5" x14ac:dyDescent="0.25">
      <c r="B298" s="115" t="s">
        <v>36</v>
      </c>
      <c r="C298" s="14">
        <f>C290+C294</f>
        <v>0</v>
      </c>
      <c r="D298" s="14">
        <f t="shared" ref="D298:AH298" si="209">D290+D294</f>
        <v>0</v>
      </c>
      <c r="E298" s="14">
        <f t="shared" si="209"/>
        <v>0</v>
      </c>
      <c r="F298" s="14">
        <f t="shared" si="209"/>
        <v>0</v>
      </c>
      <c r="G298" s="14">
        <f t="shared" si="209"/>
        <v>0</v>
      </c>
      <c r="H298" s="14">
        <f t="shared" si="209"/>
        <v>0</v>
      </c>
      <c r="I298" s="14">
        <f t="shared" si="209"/>
        <v>0</v>
      </c>
      <c r="J298" s="14">
        <f t="shared" si="209"/>
        <v>0</v>
      </c>
      <c r="K298" s="14">
        <f t="shared" si="209"/>
        <v>0</v>
      </c>
      <c r="L298" s="14">
        <f t="shared" si="209"/>
        <v>0</v>
      </c>
      <c r="M298" s="14">
        <f t="shared" si="209"/>
        <v>0</v>
      </c>
      <c r="N298" s="14">
        <f t="shared" si="209"/>
        <v>0</v>
      </c>
      <c r="O298" s="14">
        <f t="shared" si="209"/>
        <v>0</v>
      </c>
      <c r="P298" s="14">
        <f t="shared" si="209"/>
        <v>0</v>
      </c>
      <c r="Q298" s="14">
        <f t="shared" si="209"/>
        <v>0</v>
      </c>
      <c r="R298" s="14">
        <f t="shared" si="209"/>
        <v>0</v>
      </c>
      <c r="S298" s="14">
        <f t="shared" si="209"/>
        <v>0</v>
      </c>
      <c r="T298" s="14">
        <f t="shared" si="209"/>
        <v>20854470.649999999</v>
      </c>
      <c r="U298" s="14">
        <f t="shared" si="209"/>
        <v>0</v>
      </c>
      <c r="V298" s="14">
        <f t="shared" si="209"/>
        <v>0</v>
      </c>
      <c r="W298" s="14">
        <f t="shared" si="209"/>
        <v>0</v>
      </c>
      <c r="X298" s="14">
        <f t="shared" si="209"/>
        <v>0</v>
      </c>
      <c r="Y298" s="14">
        <f t="shared" si="209"/>
        <v>20854470.649999999</v>
      </c>
      <c r="Z298" s="14">
        <f t="shared" si="209"/>
        <v>42000000</v>
      </c>
      <c r="AA298" s="14">
        <f t="shared" si="209"/>
        <v>0</v>
      </c>
      <c r="AB298" s="14">
        <f t="shared" si="209"/>
        <v>0</v>
      </c>
      <c r="AC298" s="14">
        <f t="shared" si="209"/>
        <v>0</v>
      </c>
      <c r="AD298" s="14">
        <f t="shared" si="209"/>
        <v>20854470.649999999</v>
      </c>
      <c r="AE298" s="14">
        <f t="shared" si="209"/>
        <v>0</v>
      </c>
      <c r="AF298" s="14">
        <f t="shared" si="209"/>
        <v>0</v>
      </c>
      <c r="AG298" s="14">
        <f t="shared" si="209"/>
        <v>0</v>
      </c>
      <c r="AH298" s="14">
        <f t="shared" si="209"/>
        <v>0</v>
      </c>
    </row>
    <row r="300" spans="2:34" ht="15.75" x14ac:dyDescent="0.2">
      <c r="B300" s="233" t="s">
        <v>316</v>
      </c>
    </row>
    <row r="301" spans="2:34" s="1" customFormat="1" ht="13.5" x14ac:dyDescent="0.25">
      <c r="B301" s="18" t="s">
        <v>37</v>
      </c>
      <c r="C301" s="18">
        <v>2013</v>
      </c>
      <c r="D301" s="18">
        <f>C301+1</f>
        <v>2014</v>
      </c>
      <c r="E301" s="18">
        <f t="shared" ref="E301:AH301" si="210">D301+1</f>
        <v>2015</v>
      </c>
      <c r="F301" s="18">
        <f t="shared" si="210"/>
        <v>2016</v>
      </c>
      <c r="G301" s="18">
        <f t="shared" si="210"/>
        <v>2017</v>
      </c>
      <c r="H301" s="18">
        <f t="shared" si="210"/>
        <v>2018</v>
      </c>
      <c r="I301" s="18">
        <f t="shared" si="210"/>
        <v>2019</v>
      </c>
      <c r="J301" s="18">
        <f t="shared" si="210"/>
        <v>2020</v>
      </c>
      <c r="K301" s="18">
        <f t="shared" si="210"/>
        <v>2021</v>
      </c>
      <c r="L301" s="18">
        <f t="shared" si="210"/>
        <v>2022</v>
      </c>
      <c r="M301" s="18">
        <f t="shared" si="210"/>
        <v>2023</v>
      </c>
      <c r="N301" s="18">
        <f t="shared" si="210"/>
        <v>2024</v>
      </c>
      <c r="O301" s="18">
        <f t="shared" si="210"/>
        <v>2025</v>
      </c>
      <c r="P301" s="18">
        <f t="shared" si="210"/>
        <v>2026</v>
      </c>
      <c r="Q301" s="18">
        <f t="shared" si="210"/>
        <v>2027</v>
      </c>
      <c r="R301" s="18">
        <f t="shared" si="210"/>
        <v>2028</v>
      </c>
      <c r="S301" s="18">
        <f t="shared" si="210"/>
        <v>2029</v>
      </c>
      <c r="T301" s="18">
        <f t="shared" si="210"/>
        <v>2030</v>
      </c>
      <c r="U301" s="18">
        <f t="shared" si="210"/>
        <v>2031</v>
      </c>
      <c r="V301" s="18">
        <f t="shared" si="210"/>
        <v>2032</v>
      </c>
      <c r="W301" s="18">
        <f t="shared" si="210"/>
        <v>2033</v>
      </c>
      <c r="X301" s="18">
        <f t="shared" si="210"/>
        <v>2034</v>
      </c>
      <c r="Y301" s="18">
        <f t="shared" si="210"/>
        <v>2035</v>
      </c>
      <c r="Z301" s="18">
        <f t="shared" si="210"/>
        <v>2036</v>
      </c>
      <c r="AA301" s="18">
        <f t="shared" si="210"/>
        <v>2037</v>
      </c>
      <c r="AB301" s="18">
        <f t="shared" si="210"/>
        <v>2038</v>
      </c>
      <c r="AC301" s="18">
        <f t="shared" si="210"/>
        <v>2039</v>
      </c>
      <c r="AD301" s="18">
        <f t="shared" si="210"/>
        <v>2040</v>
      </c>
      <c r="AE301" s="18">
        <f t="shared" si="210"/>
        <v>2041</v>
      </c>
      <c r="AF301" s="18">
        <f t="shared" si="210"/>
        <v>2042</v>
      </c>
      <c r="AG301" s="18">
        <f t="shared" si="210"/>
        <v>2043</v>
      </c>
      <c r="AH301" s="18">
        <f t="shared" si="210"/>
        <v>2044</v>
      </c>
    </row>
    <row r="302" spans="2:34" s="1" customFormat="1" ht="13.5" x14ac:dyDescent="0.25">
      <c r="B302" s="116" t="s">
        <v>38</v>
      </c>
      <c r="C302" s="117">
        <v>0</v>
      </c>
      <c r="D302" s="117">
        <v>0</v>
      </c>
      <c r="E302" s="118">
        <v>0</v>
      </c>
      <c r="F302" s="119">
        <v>0</v>
      </c>
      <c r="G302" s="118">
        <v>0</v>
      </c>
      <c r="H302" s="118">
        <v>0</v>
      </c>
      <c r="I302" s="118">
        <v>0</v>
      </c>
      <c r="J302" s="118">
        <v>0</v>
      </c>
      <c r="K302" s="118">
        <v>0</v>
      </c>
      <c r="L302" s="118">
        <v>0</v>
      </c>
      <c r="M302" s="118">
        <v>0</v>
      </c>
      <c r="N302" s="118">
        <v>0</v>
      </c>
      <c r="O302" s="118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8">
        <v>0</v>
      </c>
      <c r="W302" s="118">
        <v>0</v>
      </c>
      <c r="X302" s="118">
        <v>0</v>
      </c>
      <c r="Y302" s="118">
        <v>0</v>
      </c>
      <c r="Z302" s="118">
        <v>0</v>
      </c>
      <c r="AA302" s="118">
        <v>0</v>
      </c>
      <c r="AB302" s="118">
        <v>0</v>
      </c>
      <c r="AC302" s="118">
        <v>0</v>
      </c>
      <c r="AD302" s="118">
        <v>0</v>
      </c>
      <c r="AE302" s="118">
        <v>0</v>
      </c>
      <c r="AF302" s="118">
        <v>0</v>
      </c>
      <c r="AG302" s="118">
        <v>0</v>
      </c>
      <c r="AH302" s="118">
        <v>0</v>
      </c>
    </row>
    <row r="303" spans="2:34" s="1" customFormat="1" ht="13.5" x14ac:dyDescent="0.25">
      <c r="B303" s="116" t="s">
        <v>39</v>
      </c>
      <c r="C303" s="118">
        <f t="shared" ref="C303:AH303" si="211">C315*C312/$C$319</f>
        <v>0</v>
      </c>
      <c r="D303" s="118">
        <f t="shared" si="211"/>
        <v>0</v>
      </c>
      <c r="E303" s="118">
        <f t="shared" si="211"/>
        <v>0</v>
      </c>
      <c r="F303" s="119">
        <f t="shared" si="211"/>
        <v>174985.98336389213</v>
      </c>
      <c r="G303" s="118">
        <f t="shared" si="211"/>
        <v>174985.98336389213</v>
      </c>
      <c r="H303" s="118">
        <f t="shared" si="211"/>
        <v>184064.39103889302</v>
      </c>
      <c r="I303" s="118">
        <f t="shared" si="211"/>
        <v>420102.99058889202</v>
      </c>
      <c r="J303" s="118">
        <f t="shared" si="211"/>
        <v>719690.4438638899</v>
      </c>
      <c r="K303" s="118">
        <f t="shared" si="211"/>
        <v>2351307.1482111127</v>
      </c>
      <c r="L303" s="118">
        <f t="shared" si="211"/>
        <v>2351307.1482111127</v>
      </c>
      <c r="M303" s="118">
        <f t="shared" si="211"/>
        <v>2351307.1482111127</v>
      </c>
      <c r="N303" s="118">
        <f t="shared" si="211"/>
        <v>2351307.1482111127</v>
      </c>
      <c r="O303" s="118">
        <f t="shared" si="211"/>
        <v>2351307.1482111127</v>
      </c>
      <c r="P303" s="118">
        <f t="shared" si="211"/>
        <v>2351307.1482111127</v>
      </c>
      <c r="Q303" s="118">
        <f t="shared" si="211"/>
        <v>2351307.1482111127</v>
      </c>
      <c r="R303" s="118">
        <f t="shared" si="211"/>
        <v>2351307.1482111127</v>
      </c>
      <c r="S303" s="118">
        <f t="shared" si="211"/>
        <v>2351307.1482111127</v>
      </c>
      <c r="T303" s="118">
        <f t="shared" si="211"/>
        <v>2351307.1482111127</v>
      </c>
      <c r="U303" s="118">
        <f t="shared" si="211"/>
        <v>2405360.656347224</v>
      </c>
      <c r="V303" s="118">
        <f t="shared" si="211"/>
        <v>2405360.656347224</v>
      </c>
      <c r="W303" s="118">
        <f t="shared" si="211"/>
        <v>2405360.656347224</v>
      </c>
      <c r="X303" s="118">
        <f t="shared" si="211"/>
        <v>2405360.656347224</v>
      </c>
      <c r="Y303" s="118">
        <f t="shared" si="211"/>
        <v>2321222.5238361126</v>
      </c>
      <c r="Z303" s="118">
        <f t="shared" si="211"/>
        <v>2206999.7669499996</v>
      </c>
      <c r="AA303" s="118">
        <f t="shared" si="211"/>
        <v>2417345.0982277784</v>
      </c>
      <c r="AB303" s="118">
        <f t="shared" si="211"/>
        <v>2417345.0982277784</v>
      </c>
      <c r="AC303" s="118">
        <f t="shared" si="211"/>
        <v>2417345.0982277784</v>
      </c>
      <c r="AD303" s="118">
        <f t="shared" si="211"/>
        <v>2417345.0982277784</v>
      </c>
      <c r="AE303" s="118">
        <f t="shared" si="211"/>
        <v>2449630.4855777794</v>
      </c>
      <c r="AF303" s="118">
        <f t="shared" si="211"/>
        <v>2449630.4855777794</v>
      </c>
      <c r="AG303" s="118">
        <f t="shared" si="211"/>
        <v>2449630.4855777794</v>
      </c>
      <c r="AH303" s="118">
        <f t="shared" si="211"/>
        <v>2449630.4855777794</v>
      </c>
    </row>
    <row r="304" spans="2:34" s="1" customFormat="1" ht="13.5" x14ac:dyDescent="0.25">
      <c r="B304" s="120" t="s">
        <v>40</v>
      </c>
      <c r="C304" s="118">
        <f>C316*C311/$C$319</f>
        <v>0</v>
      </c>
      <c r="D304" s="118">
        <f t="shared" ref="D304:AG304" si="212">D316*D311/$C$319</f>
        <v>0</v>
      </c>
      <c r="E304" s="118">
        <f t="shared" si="212"/>
        <v>0</v>
      </c>
      <c r="F304" s="119">
        <f t="shared" si="212"/>
        <v>32219.178082191782</v>
      </c>
      <c r="G304" s="118">
        <f t="shared" si="212"/>
        <v>32219.178082191782</v>
      </c>
      <c r="H304" s="118">
        <f t="shared" si="212"/>
        <v>32219.178082191782</v>
      </c>
      <c r="I304" s="118">
        <f t="shared" si="212"/>
        <v>32219.178082191782</v>
      </c>
      <c r="J304" s="118">
        <f t="shared" si="212"/>
        <v>32219.178082191782</v>
      </c>
      <c r="K304" s="118">
        <f t="shared" si="212"/>
        <v>715806.82739726035</v>
      </c>
      <c r="L304" s="118">
        <f t="shared" si="212"/>
        <v>715806.82739726035</v>
      </c>
      <c r="M304" s="118">
        <f t="shared" si="212"/>
        <v>715806.82739726035</v>
      </c>
      <c r="N304" s="118">
        <f t="shared" si="212"/>
        <v>715806.82739726035</v>
      </c>
      <c r="O304" s="118">
        <f t="shared" si="212"/>
        <v>715806.82739726035</v>
      </c>
      <c r="P304" s="118">
        <f t="shared" si="212"/>
        <v>715806.82739726035</v>
      </c>
      <c r="Q304" s="118">
        <f t="shared" si="212"/>
        <v>715806.82739726035</v>
      </c>
      <c r="R304" s="118">
        <f t="shared" si="212"/>
        <v>715806.82739726035</v>
      </c>
      <c r="S304" s="118">
        <f t="shared" si="212"/>
        <v>715806.82739726035</v>
      </c>
      <c r="T304" s="118">
        <f t="shared" si="212"/>
        <v>715806.82739726035</v>
      </c>
      <c r="U304" s="118">
        <f t="shared" si="212"/>
        <v>715806.82739726047</v>
      </c>
      <c r="V304" s="118">
        <f t="shared" si="212"/>
        <v>715806.82739726047</v>
      </c>
      <c r="W304" s="118">
        <f t="shared" si="212"/>
        <v>715806.82739726047</v>
      </c>
      <c r="X304" s="118">
        <f t="shared" si="212"/>
        <v>715806.82739726047</v>
      </c>
      <c r="Y304" s="118">
        <f t="shared" si="212"/>
        <v>715806.82739726047</v>
      </c>
      <c r="Z304" s="118">
        <f t="shared" si="212"/>
        <v>715806.82739726035</v>
      </c>
      <c r="AA304" s="118">
        <f t="shared" si="212"/>
        <v>715806.82739726035</v>
      </c>
      <c r="AB304" s="118">
        <f t="shared" si="212"/>
        <v>715806.82739726035</v>
      </c>
      <c r="AC304" s="118">
        <f t="shared" si="212"/>
        <v>715806.82739726035</v>
      </c>
      <c r="AD304" s="118">
        <f t="shared" si="212"/>
        <v>715806.82739726035</v>
      </c>
      <c r="AE304" s="118">
        <f t="shared" si="212"/>
        <v>715806.82739726035</v>
      </c>
      <c r="AF304" s="118">
        <f t="shared" si="212"/>
        <v>715806.82739726035</v>
      </c>
      <c r="AG304" s="118">
        <f t="shared" si="212"/>
        <v>715806.82739726035</v>
      </c>
      <c r="AH304" s="118">
        <f>AH316*AH311/$C$319</f>
        <v>715806.82739726035</v>
      </c>
    </row>
    <row r="305" spans="2:34" s="1" customFormat="1" ht="13.5" x14ac:dyDescent="0.25">
      <c r="B305" s="121" t="s">
        <v>41</v>
      </c>
      <c r="C305" s="118">
        <f>C317*C311/$C$319</f>
        <v>0</v>
      </c>
      <c r="D305" s="118">
        <f t="shared" ref="D305:AG305" si="213">D317*D311/$C$319</f>
        <v>0</v>
      </c>
      <c r="E305" s="118">
        <f t="shared" si="213"/>
        <v>0</v>
      </c>
      <c r="F305" s="119">
        <f t="shared" si="213"/>
        <v>28191.780821917808</v>
      </c>
      <c r="G305" s="118">
        <f t="shared" si="213"/>
        <v>28191.780821917808</v>
      </c>
      <c r="H305" s="118">
        <f t="shared" si="213"/>
        <v>28191.780821917808</v>
      </c>
      <c r="I305" s="118">
        <f t="shared" si="213"/>
        <v>28191.780821917808</v>
      </c>
      <c r="J305" s="118">
        <f t="shared" si="213"/>
        <v>28191.780821917808</v>
      </c>
      <c r="K305" s="118">
        <f t="shared" si="213"/>
        <v>626330.97397260286</v>
      </c>
      <c r="L305" s="118">
        <f t="shared" si="213"/>
        <v>626330.97397260286</v>
      </c>
      <c r="M305" s="118">
        <f t="shared" si="213"/>
        <v>626330.97397260286</v>
      </c>
      <c r="N305" s="118">
        <f t="shared" si="213"/>
        <v>626330.97397260286</v>
      </c>
      <c r="O305" s="118">
        <f t="shared" si="213"/>
        <v>626330.97397260286</v>
      </c>
      <c r="P305" s="118">
        <f t="shared" si="213"/>
        <v>626330.97397260286</v>
      </c>
      <c r="Q305" s="118">
        <f t="shared" si="213"/>
        <v>626330.97397260286</v>
      </c>
      <c r="R305" s="118">
        <f t="shared" si="213"/>
        <v>626330.97397260286</v>
      </c>
      <c r="S305" s="118">
        <f t="shared" si="213"/>
        <v>626330.97397260286</v>
      </c>
      <c r="T305" s="118">
        <f t="shared" si="213"/>
        <v>626330.97397260286</v>
      </c>
      <c r="U305" s="118">
        <f t="shared" si="213"/>
        <v>626330.97397260286</v>
      </c>
      <c r="V305" s="118">
        <f t="shared" si="213"/>
        <v>626330.97397260286</v>
      </c>
      <c r="W305" s="118">
        <f t="shared" si="213"/>
        <v>626330.97397260286</v>
      </c>
      <c r="X305" s="118">
        <f t="shared" si="213"/>
        <v>626330.97397260286</v>
      </c>
      <c r="Y305" s="118">
        <f t="shared" si="213"/>
        <v>626330.97397260286</v>
      </c>
      <c r="Z305" s="118">
        <f t="shared" si="213"/>
        <v>626330.97397260286</v>
      </c>
      <c r="AA305" s="118">
        <f t="shared" si="213"/>
        <v>626330.97397260286</v>
      </c>
      <c r="AB305" s="118">
        <f t="shared" si="213"/>
        <v>626330.97397260286</v>
      </c>
      <c r="AC305" s="118">
        <f t="shared" si="213"/>
        <v>626330.97397260286</v>
      </c>
      <c r="AD305" s="118">
        <f t="shared" si="213"/>
        <v>626330.97397260286</v>
      </c>
      <c r="AE305" s="118">
        <f t="shared" si="213"/>
        <v>626330.97397260286</v>
      </c>
      <c r="AF305" s="118">
        <f t="shared" si="213"/>
        <v>626330.97397260286</v>
      </c>
      <c r="AG305" s="118">
        <f t="shared" si="213"/>
        <v>626330.97397260286</v>
      </c>
      <c r="AH305" s="118">
        <f>AH317*AH311/$C$319</f>
        <v>626330.97397260286</v>
      </c>
    </row>
    <row r="306" spans="2:34" s="1" customFormat="1" ht="13.5" x14ac:dyDescent="0.25">
      <c r="B306" s="122" t="s">
        <v>42</v>
      </c>
      <c r="C306" s="123">
        <f t="shared" ref="C306:AG306" si="214">C303+C302+C304-C305</f>
        <v>0</v>
      </c>
      <c r="D306" s="123">
        <f>D303+D302+D304-D305</f>
        <v>0</v>
      </c>
      <c r="E306" s="123">
        <f>E303+E302+E304-E305</f>
        <v>0</v>
      </c>
      <c r="F306" s="124">
        <f t="shared" si="214"/>
        <v>179013.38062416611</v>
      </c>
      <c r="G306" s="123">
        <f t="shared" si="214"/>
        <v>179013.38062416611</v>
      </c>
      <c r="H306" s="123">
        <f t="shared" si="214"/>
        <v>188091.788299167</v>
      </c>
      <c r="I306" s="123">
        <f t="shared" si="214"/>
        <v>424130.387849166</v>
      </c>
      <c r="J306" s="123">
        <f t="shared" si="214"/>
        <v>723717.84112416382</v>
      </c>
      <c r="K306" s="123">
        <f t="shared" si="214"/>
        <v>2440783.0016357703</v>
      </c>
      <c r="L306" s="123">
        <f t="shared" si="214"/>
        <v>2440783.0016357703</v>
      </c>
      <c r="M306" s="123">
        <f t="shared" si="214"/>
        <v>2440783.0016357703</v>
      </c>
      <c r="N306" s="123">
        <f t="shared" si="214"/>
        <v>2440783.0016357703</v>
      </c>
      <c r="O306" s="123">
        <f t="shared" si="214"/>
        <v>2440783.0016357703</v>
      </c>
      <c r="P306" s="123">
        <f t="shared" si="214"/>
        <v>2440783.0016357703</v>
      </c>
      <c r="Q306" s="123">
        <f t="shared" si="214"/>
        <v>2440783.0016357703</v>
      </c>
      <c r="R306" s="123">
        <f t="shared" si="214"/>
        <v>2440783.0016357703</v>
      </c>
      <c r="S306" s="123">
        <f t="shared" si="214"/>
        <v>2440783.0016357703</v>
      </c>
      <c r="T306" s="123">
        <f t="shared" si="214"/>
        <v>2440783.0016357703</v>
      </c>
      <c r="U306" s="123">
        <f t="shared" si="214"/>
        <v>2494836.5097718816</v>
      </c>
      <c r="V306" s="123">
        <f t="shared" si="214"/>
        <v>2494836.5097718816</v>
      </c>
      <c r="W306" s="123">
        <f t="shared" si="214"/>
        <v>2494836.5097718816</v>
      </c>
      <c r="X306" s="123">
        <f t="shared" si="214"/>
        <v>2494836.5097718816</v>
      </c>
      <c r="Y306" s="123">
        <f t="shared" si="214"/>
        <v>2410698.3772607702</v>
      </c>
      <c r="Z306" s="123">
        <f t="shared" si="214"/>
        <v>2296475.6203746572</v>
      </c>
      <c r="AA306" s="123">
        <f t="shared" si="214"/>
        <v>2506820.9516524361</v>
      </c>
      <c r="AB306" s="123">
        <f t="shared" si="214"/>
        <v>2506820.9516524361</v>
      </c>
      <c r="AC306" s="123">
        <f t="shared" si="214"/>
        <v>2506820.9516524361</v>
      </c>
      <c r="AD306" s="123">
        <f t="shared" si="214"/>
        <v>2506820.9516524361</v>
      </c>
      <c r="AE306" s="123">
        <f t="shared" si="214"/>
        <v>2539106.339002437</v>
      </c>
      <c r="AF306" s="123">
        <f t="shared" si="214"/>
        <v>2539106.339002437</v>
      </c>
      <c r="AG306" s="123">
        <f t="shared" si="214"/>
        <v>2539106.339002437</v>
      </c>
      <c r="AH306" s="123">
        <f>AH303+AH302+AH304-AH305</f>
        <v>2539106.339002437</v>
      </c>
    </row>
    <row r="307" spans="2:34" s="1" customFormat="1" ht="13.5" x14ac:dyDescent="0.25">
      <c r="B307" s="125" t="s">
        <v>43</v>
      </c>
      <c r="C307" s="126">
        <f>C306</f>
        <v>0</v>
      </c>
      <c r="D307" s="127">
        <f>D306-C306</f>
        <v>0</v>
      </c>
      <c r="E307" s="127">
        <f>E306-D306</f>
        <v>0</v>
      </c>
      <c r="F307" s="127">
        <f t="shared" ref="F307:AH307" si="215">F306-E306</f>
        <v>179013.38062416611</v>
      </c>
      <c r="G307" s="127">
        <f t="shared" si="215"/>
        <v>0</v>
      </c>
      <c r="H307" s="127">
        <f t="shared" si="215"/>
        <v>9078.4076750008971</v>
      </c>
      <c r="I307" s="127">
        <f t="shared" si="215"/>
        <v>236038.59954999899</v>
      </c>
      <c r="J307" s="127">
        <f t="shared" si="215"/>
        <v>299587.45327499782</v>
      </c>
      <c r="K307" s="127">
        <f t="shared" si="215"/>
        <v>1717065.1605116064</v>
      </c>
      <c r="L307" s="127">
        <f t="shared" si="215"/>
        <v>0</v>
      </c>
      <c r="M307" s="127">
        <f t="shared" si="215"/>
        <v>0</v>
      </c>
      <c r="N307" s="127">
        <f t="shared" si="215"/>
        <v>0</v>
      </c>
      <c r="O307" s="127">
        <f t="shared" si="215"/>
        <v>0</v>
      </c>
      <c r="P307" s="127">
        <f t="shared" si="215"/>
        <v>0</v>
      </c>
      <c r="Q307" s="127">
        <f t="shared" si="215"/>
        <v>0</v>
      </c>
      <c r="R307" s="127">
        <f t="shared" si="215"/>
        <v>0</v>
      </c>
      <c r="S307" s="127">
        <f t="shared" si="215"/>
        <v>0</v>
      </c>
      <c r="T307" s="127">
        <f t="shared" si="215"/>
        <v>0</v>
      </c>
      <c r="U307" s="127">
        <f t="shared" si="215"/>
        <v>54053.508136111312</v>
      </c>
      <c r="V307" s="127">
        <f t="shared" si="215"/>
        <v>0</v>
      </c>
      <c r="W307" s="127">
        <f t="shared" si="215"/>
        <v>0</v>
      </c>
      <c r="X307" s="127">
        <f t="shared" si="215"/>
        <v>0</v>
      </c>
      <c r="Y307" s="127">
        <f t="shared" si="215"/>
        <v>-84138.132511111442</v>
      </c>
      <c r="Z307" s="127">
        <f t="shared" si="215"/>
        <v>-114222.75688611297</v>
      </c>
      <c r="AA307" s="127">
        <f t="shared" si="215"/>
        <v>210345.33127777884</v>
      </c>
      <c r="AB307" s="127">
        <f t="shared" si="215"/>
        <v>0</v>
      </c>
      <c r="AC307" s="127">
        <f t="shared" si="215"/>
        <v>0</v>
      </c>
      <c r="AD307" s="127">
        <f t="shared" si="215"/>
        <v>0</v>
      </c>
      <c r="AE307" s="127">
        <f t="shared" si="215"/>
        <v>32285.387350000907</v>
      </c>
      <c r="AF307" s="127">
        <f t="shared" si="215"/>
        <v>0</v>
      </c>
      <c r="AG307" s="127">
        <f t="shared" si="215"/>
        <v>0</v>
      </c>
      <c r="AH307" s="127">
        <f t="shared" si="215"/>
        <v>0</v>
      </c>
    </row>
    <row r="308" spans="2:34" s="1" customFormat="1" ht="13.5" x14ac:dyDescent="0.25">
      <c r="B308" s="270"/>
      <c r="C308" s="271"/>
      <c r="D308" s="271"/>
      <c r="E308" s="271"/>
      <c r="F308" s="271"/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Y308" s="271"/>
      <c r="Z308" s="271"/>
      <c r="AA308" s="271"/>
      <c r="AB308" s="271"/>
      <c r="AC308" s="271"/>
      <c r="AD308" s="271"/>
      <c r="AE308" s="271"/>
      <c r="AF308" s="271"/>
      <c r="AG308" s="271"/>
      <c r="AH308" s="271"/>
    </row>
    <row r="309" spans="2:34" s="1" customFormat="1" ht="13.5" x14ac:dyDescent="0.25">
      <c r="F309" s="91"/>
    </row>
    <row r="310" spans="2:34" s="1" customFormat="1" ht="13.5" x14ac:dyDescent="0.25">
      <c r="B310" s="128" t="s">
        <v>44</v>
      </c>
      <c r="C310" s="18">
        <f t="shared" ref="C310:AG310" si="216">C301</f>
        <v>2013</v>
      </c>
      <c r="D310" s="18">
        <f t="shared" si="216"/>
        <v>2014</v>
      </c>
      <c r="E310" s="18">
        <f t="shared" si="216"/>
        <v>2015</v>
      </c>
      <c r="F310" s="18">
        <f t="shared" si="216"/>
        <v>2016</v>
      </c>
      <c r="G310" s="18">
        <f t="shared" si="216"/>
        <v>2017</v>
      </c>
      <c r="H310" s="18">
        <f t="shared" si="216"/>
        <v>2018</v>
      </c>
      <c r="I310" s="18">
        <f t="shared" si="216"/>
        <v>2019</v>
      </c>
      <c r="J310" s="18">
        <f t="shared" si="216"/>
        <v>2020</v>
      </c>
      <c r="K310" s="18">
        <f t="shared" si="216"/>
        <v>2021</v>
      </c>
      <c r="L310" s="18">
        <f t="shared" si="216"/>
        <v>2022</v>
      </c>
      <c r="M310" s="18">
        <f t="shared" si="216"/>
        <v>2023</v>
      </c>
      <c r="N310" s="18">
        <f t="shared" si="216"/>
        <v>2024</v>
      </c>
      <c r="O310" s="18">
        <f t="shared" si="216"/>
        <v>2025</v>
      </c>
      <c r="P310" s="18">
        <f t="shared" si="216"/>
        <v>2026</v>
      </c>
      <c r="Q310" s="18">
        <f t="shared" si="216"/>
        <v>2027</v>
      </c>
      <c r="R310" s="18">
        <f t="shared" si="216"/>
        <v>2028</v>
      </c>
      <c r="S310" s="18">
        <f t="shared" si="216"/>
        <v>2029</v>
      </c>
      <c r="T310" s="18">
        <f t="shared" si="216"/>
        <v>2030</v>
      </c>
      <c r="U310" s="18">
        <f t="shared" si="216"/>
        <v>2031</v>
      </c>
      <c r="V310" s="18">
        <f t="shared" si="216"/>
        <v>2032</v>
      </c>
      <c r="W310" s="18">
        <f t="shared" si="216"/>
        <v>2033</v>
      </c>
      <c r="X310" s="18">
        <f t="shared" si="216"/>
        <v>2034</v>
      </c>
      <c r="Y310" s="18">
        <f t="shared" si="216"/>
        <v>2035</v>
      </c>
      <c r="Z310" s="18">
        <f t="shared" si="216"/>
        <v>2036</v>
      </c>
      <c r="AA310" s="18">
        <f t="shared" si="216"/>
        <v>2037</v>
      </c>
      <c r="AB310" s="18">
        <f t="shared" si="216"/>
        <v>2038</v>
      </c>
      <c r="AC310" s="18">
        <f t="shared" si="216"/>
        <v>2039</v>
      </c>
      <c r="AD310" s="18">
        <f t="shared" si="216"/>
        <v>2040</v>
      </c>
      <c r="AE310" s="18">
        <f t="shared" si="216"/>
        <v>2041</v>
      </c>
      <c r="AF310" s="18">
        <f t="shared" si="216"/>
        <v>2042</v>
      </c>
      <c r="AG310" s="18">
        <f t="shared" si="216"/>
        <v>2043</v>
      </c>
      <c r="AH310" s="18">
        <f>AH301</f>
        <v>2044</v>
      </c>
    </row>
    <row r="311" spans="2:34" s="1" customFormat="1" ht="13.5" x14ac:dyDescent="0.25">
      <c r="B311" s="129" t="s">
        <v>45</v>
      </c>
      <c r="C311" s="130">
        <f>'Obliczenia-AF'!B225-'Obliczenia-AF'!B217</f>
        <v>0</v>
      </c>
      <c r="D311" s="130">
        <f>'Obliczenia-AF'!C225-'Obliczenia-AF'!C217</f>
        <v>0</v>
      </c>
      <c r="E311" s="130">
        <f>'Obliczenia-AF'!D225-'Obliczenia-AF'!D217</f>
        <v>0</v>
      </c>
      <c r="F311" s="131">
        <f>'Obliczenia-AF'!E225-'Obliczenia-AF'!E217</f>
        <v>294000</v>
      </c>
      <c r="G311" s="130">
        <f>'Obliczenia-AF'!F225-'Obliczenia-AF'!F217</f>
        <v>294000</v>
      </c>
      <c r="H311" s="130">
        <f>'Obliczenia-AF'!G225-'Obliczenia-AF'!G217</f>
        <v>294000</v>
      </c>
      <c r="I311" s="130">
        <f>'Obliczenia-AF'!H225-'Obliczenia-AF'!H217</f>
        <v>294000</v>
      </c>
      <c r="J311" s="130">
        <f>'Obliczenia-AF'!I225-'Obliczenia-AF'!I217</f>
        <v>294000</v>
      </c>
      <c r="K311" s="130">
        <f>'Obliczenia-AF'!J225-'Obliczenia-AF'!J217</f>
        <v>6531737.3000000007</v>
      </c>
      <c r="L311" s="130">
        <f>'Obliczenia-AF'!K225-'Obliczenia-AF'!K217</f>
        <v>6531737.3000000007</v>
      </c>
      <c r="M311" s="130">
        <f>'Obliczenia-AF'!L225-'Obliczenia-AF'!L217</f>
        <v>6531737.3000000007</v>
      </c>
      <c r="N311" s="130">
        <f>'Obliczenia-AF'!M225-'Obliczenia-AF'!M217</f>
        <v>6531737.3000000007</v>
      </c>
      <c r="O311" s="130">
        <f>'Obliczenia-AF'!N225-'Obliczenia-AF'!N217</f>
        <v>6531737.3000000007</v>
      </c>
      <c r="P311" s="130">
        <f>'Obliczenia-AF'!O225-'Obliczenia-AF'!O217</f>
        <v>6531737.3000000007</v>
      </c>
      <c r="Q311" s="130">
        <f>'Obliczenia-AF'!P225-'Obliczenia-AF'!P217</f>
        <v>6531737.3000000007</v>
      </c>
      <c r="R311" s="130">
        <f>'Obliczenia-AF'!Q225-'Obliczenia-AF'!Q217</f>
        <v>6531737.3000000007</v>
      </c>
      <c r="S311" s="130">
        <f>'Obliczenia-AF'!R225-'Obliczenia-AF'!R217</f>
        <v>6531737.3000000007</v>
      </c>
      <c r="T311" s="130">
        <f>'Obliczenia-AF'!S225-'Obliczenia-AF'!S217</f>
        <v>6531737.3000000007</v>
      </c>
      <c r="U311" s="130">
        <f>'Obliczenia-AF'!T225-'Obliczenia-AF'!T217</f>
        <v>6531737.3000000017</v>
      </c>
      <c r="V311" s="130">
        <f>'Obliczenia-AF'!U225-'Obliczenia-AF'!U217</f>
        <v>6531737.3000000017</v>
      </c>
      <c r="W311" s="130">
        <f>'Obliczenia-AF'!V225-'Obliczenia-AF'!V217</f>
        <v>6531737.3000000017</v>
      </c>
      <c r="X311" s="130">
        <f>'Obliczenia-AF'!W225-'Obliczenia-AF'!W217</f>
        <v>6531737.3000000017</v>
      </c>
      <c r="Y311" s="130">
        <f>'Obliczenia-AF'!X225-'Obliczenia-AF'!X217</f>
        <v>6531737.3000000017</v>
      </c>
      <c r="Z311" s="130">
        <f>'Obliczenia-AF'!Y225-'Obliczenia-AF'!Y217</f>
        <v>6531737.3000000007</v>
      </c>
      <c r="AA311" s="130">
        <f>'Obliczenia-AF'!Z225-'Obliczenia-AF'!Z217</f>
        <v>6531737.3000000007</v>
      </c>
      <c r="AB311" s="130">
        <f>'Obliczenia-AF'!AA225-'Obliczenia-AF'!AA217</f>
        <v>6531737.3000000007</v>
      </c>
      <c r="AC311" s="130">
        <f>'Obliczenia-AF'!AB225-'Obliczenia-AF'!AB217</f>
        <v>6531737.3000000007</v>
      </c>
      <c r="AD311" s="130">
        <f>'Obliczenia-AF'!AC225-'Obliczenia-AF'!AC217</f>
        <v>6531737.3000000007</v>
      </c>
      <c r="AE311" s="130">
        <f>'Obliczenia-AF'!AD225-'Obliczenia-AF'!AD217</f>
        <v>6531737.3000000007</v>
      </c>
      <c r="AF311" s="130">
        <f>'Obliczenia-AF'!AE225-'Obliczenia-AF'!AE217</f>
        <v>6531737.3000000007</v>
      </c>
      <c r="AG311" s="130">
        <f>'Obliczenia-AF'!AF225-'Obliczenia-AF'!AF217</f>
        <v>6531737.3000000007</v>
      </c>
      <c r="AH311" s="130">
        <f>'Obliczenia-AF'!AG225-'Obliczenia-AF'!AG217</f>
        <v>6531737.3000000007</v>
      </c>
    </row>
    <row r="312" spans="2:34" s="1" customFormat="1" ht="13.5" x14ac:dyDescent="0.25">
      <c r="B312" s="132" t="s">
        <v>46</v>
      </c>
      <c r="C312" s="130">
        <f>'Obliczenia-AF'!B282</f>
        <v>0</v>
      </c>
      <c r="D312" s="130">
        <f>'Obliczenia-AF'!C282</f>
        <v>0</v>
      </c>
      <c r="E312" s="130">
        <f>'Obliczenia-AF'!D282</f>
        <v>0</v>
      </c>
      <c r="F312" s="131">
        <f>'Obliczenia-AF'!E282</f>
        <v>2128996.1309273541</v>
      </c>
      <c r="G312" s="130">
        <f>'Obliczenia-AF'!F282</f>
        <v>2128996.1309273541</v>
      </c>
      <c r="H312" s="130">
        <f>'Obliczenia-AF'!G282</f>
        <v>2239450.0909731984</v>
      </c>
      <c r="I312" s="130">
        <f>'Obliczenia-AF'!H282</f>
        <v>5111253.0521648526</v>
      </c>
      <c r="J312" s="130">
        <f>'Obliczenia-AF'!I282</f>
        <v>8756233.7336773276</v>
      </c>
      <c r="K312" s="130">
        <f>'Obliczenia-AF'!J282</f>
        <v>28607570.303235203</v>
      </c>
      <c r="L312" s="130">
        <f>'Obliczenia-AF'!K282</f>
        <v>28607570.303235203</v>
      </c>
      <c r="M312" s="130">
        <f>'Obliczenia-AF'!L282</f>
        <v>28607570.303235203</v>
      </c>
      <c r="N312" s="130">
        <f>'Obliczenia-AF'!M282</f>
        <v>28607570.303235203</v>
      </c>
      <c r="O312" s="130">
        <f>'Obliczenia-AF'!N282</f>
        <v>28607570.303235203</v>
      </c>
      <c r="P312" s="130">
        <f>'Obliczenia-AF'!O282</f>
        <v>28607570.303235203</v>
      </c>
      <c r="Q312" s="130">
        <f>'Obliczenia-AF'!P282</f>
        <v>28607570.303235203</v>
      </c>
      <c r="R312" s="130">
        <f>'Obliczenia-AF'!Q282</f>
        <v>28607570.303235203</v>
      </c>
      <c r="S312" s="130">
        <f>'Obliczenia-AF'!R282</f>
        <v>28607570.303235203</v>
      </c>
      <c r="T312" s="130">
        <f>'Obliczenia-AF'!S282</f>
        <v>28607570.303235203</v>
      </c>
      <c r="U312" s="130">
        <f>'Obliczenia-AF'!T282</f>
        <v>29265221.318891227</v>
      </c>
      <c r="V312" s="130">
        <f>'Obliczenia-AF'!U282</f>
        <v>29265221.318891227</v>
      </c>
      <c r="W312" s="130">
        <f>'Obliczenia-AF'!V282</f>
        <v>29265221.318891227</v>
      </c>
      <c r="X312" s="130">
        <f>'Obliczenia-AF'!W282</f>
        <v>29265221.318891227</v>
      </c>
      <c r="Y312" s="130">
        <f>'Obliczenia-AF'!X282</f>
        <v>28241540.706672698</v>
      </c>
      <c r="Z312" s="130">
        <f>'Obliczenia-AF'!Y282</f>
        <v>26851830.497891665</v>
      </c>
      <c r="AA312" s="130">
        <f>'Obliczenia-AF'!Z282</f>
        <v>29411032.028437972</v>
      </c>
      <c r="AB312" s="130">
        <f>'Obliczenia-AF'!AA282</f>
        <v>29411032.028437972</v>
      </c>
      <c r="AC312" s="130">
        <f>'Obliczenia-AF'!AB282</f>
        <v>29411032.028437972</v>
      </c>
      <c r="AD312" s="130">
        <f>'Obliczenia-AF'!AC282</f>
        <v>29411032.028437972</v>
      </c>
      <c r="AE312" s="130">
        <f>'Obliczenia-AF'!AD282</f>
        <v>29803837.574529648</v>
      </c>
      <c r="AF312" s="130">
        <f>'Obliczenia-AF'!AE282</f>
        <v>29803837.574529648</v>
      </c>
      <c r="AG312" s="130">
        <f>'Obliczenia-AF'!AF282</f>
        <v>29803837.574529648</v>
      </c>
      <c r="AH312" s="130">
        <f>'Obliczenia-AF'!AG282</f>
        <v>29803837.574529648</v>
      </c>
    </row>
    <row r="313" spans="2:34" s="1" customFormat="1" ht="13.5" x14ac:dyDescent="0.25">
      <c r="B313" s="133" t="s">
        <v>47</v>
      </c>
      <c r="C313" s="134"/>
      <c r="D313" s="134"/>
      <c r="E313" s="134"/>
      <c r="F313" s="135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</row>
    <row r="314" spans="2:34" s="1" customFormat="1" ht="13.5" x14ac:dyDescent="0.25">
      <c r="B314" s="21" t="s">
        <v>48</v>
      </c>
      <c r="C314" s="21"/>
      <c r="D314" s="21"/>
      <c r="E314" s="21"/>
      <c r="F314" s="125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spans="2:34" s="1" customFormat="1" ht="13.5" x14ac:dyDescent="0.25">
      <c r="B315" s="21" t="s">
        <v>49</v>
      </c>
      <c r="C315" s="136">
        <f>C321</f>
        <v>30</v>
      </c>
      <c r="D315" s="136">
        <f>E315</f>
        <v>30</v>
      </c>
      <c r="E315" s="136">
        <f>C321</f>
        <v>30</v>
      </c>
      <c r="F315" s="137">
        <f t="shared" ref="F315:AH315" si="217">E315</f>
        <v>30</v>
      </c>
      <c r="G315" s="136">
        <f t="shared" si="217"/>
        <v>30</v>
      </c>
      <c r="H315" s="136">
        <f t="shared" si="217"/>
        <v>30</v>
      </c>
      <c r="I315" s="136">
        <f t="shared" si="217"/>
        <v>30</v>
      </c>
      <c r="J315" s="136">
        <f t="shared" si="217"/>
        <v>30</v>
      </c>
      <c r="K315" s="136">
        <f t="shared" si="217"/>
        <v>30</v>
      </c>
      <c r="L315" s="136">
        <f t="shared" si="217"/>
        <v>30</v>
      </c>
      <c r="M315" s="136">
        <f t="shared" si="217"/>
        <v>30</v>
      </c>
      <c r="N315" s="136">
        <f t="shared" si="217"/>
        <v>30</v>
      </c>
      <c r="O315" s="136">
        <f t="shared" si="217"/>
        <v>30</v>
      </c>
      <c r="P315" s="136">
        <f t="shared" si="217"/>
        <v>30</v>
      </c>
      <c r="Q315" s="136">
        <f t="shared" si="217"/>
        <v>30</v>
      </c>
      <c r="R315" s="136">
        <f t="shared" si="217"/>
        <v>30</v>
      </c>
      <c r="S315" s="136">
        <f t="shared" si="217"/>
        <v>30</v>
      </c>
      <c r="T315" s="136">
        <f t="shared" si="217"/>
        <v>30</v>
      </c>
      <c r="U315" s="136">
        <f t="shared" si="217"/>
        <v>30</v>
      </c>
      <c r="V315" s="136">
        <f t="shared" si="217"/>
        <v>30</v>
      </c>
      <c r="W315" s="136">
        <f t="shared" si="217"/>
        <v>30</v>
      </c>
      <c r="X315" s="136">
        <f t="shared" si="217"/>
        <v>30</v>
      </c>
      <c r="Y315" s="136">
        <f t="shared" si="217"/>
        <v>30</v>
      </c>
      <c r="Z315" s="136">
        <f t="shared" si="217"/>
        <v>30</v>
      </c>
      <c r="AA315" s="136">
        <f t="shared" si="217"/>
        <v>30</v>
      </c>
      <c r="AB315" s="136">
        <f t="shared" si="217"/>
        <v>30</v>
      </c>
      <c r="AC315" s="136">
        <f t="shared" si="217"/>
        <v>30</v>
      </c>
      <c r="AD315" s="136">
        <f t="shared" si="217"/>
        <v>30</v>
      </c>
      <c r="AE315" s="136">
        <f t="shared" si="217"/>
        <v>30</v>
      </c>
      <c r="AF315" s="136">
        <f t="shared" si="217"/>
        <v>30</v>
      </c>
      <c r="AG315" s="136">
        <f t="shared" si="217"/>
        <v>30</v>
      </c>
      <c r="AH315" s="136">
        <f t="shared" si="217"/>
        <v>30</v>
      </c>
    </row>
    <row r="316" spans="2:34" s="1" customFormat="1" ht="13.5" x14ac:dyDescent="0.25">
      <c r="B316" s="21" t="s">
        <v>50</v>
      </c>
      <c r="C316" s="136">
        <f>C320</f>
        <v>40</v>
      </c>
      <c r="D316" s="136">
        <v>40</v>
      </c>
      <c r="E316" s="136">
        <v>40</v>
      </c>
      <c r="F316" s="137">
        <v>40</v>
      </c>
      <c r="G316" s="136">
        <v>40</v>
      </c>
      <c r="H316" s="136">
        <v>40</v>
      </c>
      <c r="I316" s="136">
        <v>40</v>
      </c>
      <c r="J316" s="136">
        <v>40</v>
      </c>
      <c r="K316" s="136">
        <v>40</v>
      </c>
      <c r="L316" s="136">
        <v>40</v>
      </c>
      <c r="M316" s="136">
        <v>40</v>
      </c>
      <c r="N316" s="136">
        <v>40</v>
      </c>
      <c r="O316" s="136">
        <v>40</v>
      </c>
      <c r="P316" s="136">
        <v>40</v>
      </c>
      <c r="Q316" s="136">
        <v>40</v>
      </c>
      <c r="R316" s="136">
        <v>40</v>
      </c>
      <c r="S316" s="136">
        <v>40</v>
      </c>
      <c r="T316" s="136">
        <v>40</v>
      </c>
      <c r="U316" s="136">
        <v>40</v>
      </c>
      <c r="V316" s="136">
        <v>40</v>
      </c>
      <c r="W316" s="136">
        <v>40</v>
      </c>
      <c r="X316" s="136">
        <v>40</v>
      </c>
      <c r="Y316" s="136">
        <v>40</v>
      </c>
      <c r="Z316" s="136">
        <v>40</v>
      </c>
      <c r="AA316" s="136">
        <v>40</v>
      </c>
      <c r="AB316" s="136">
        <v>40</v>
      </c>
      <c r="AC316" s="136">
        <v>40</v>
      </c>
      <c r="AD316" s="136">
        <v>40</v>
      </c>
      <c r="AE316" s="136">
        <v>40</v>
      </c>
      <c r="AF316" s="136">
        <v>40</v>
      </c>
      <c r="AG316" s="136">
        <v>40</v>
      </c>
      <c r="AH316" s="136">
        <v>40</v>
      </c>
    </row>
    <row r="317" spans="2:34" s="1" customFormat="1" ht="13.5" x14ac:dyDescent="0.25">
      <c r="B317" s="21" t="s">
        <v>51</v>
      </c>
      <c r="C317" s="136">
        <f>C322</f>
        <v>35</v>
      </c>
      <c r="D317" s="136">
        <v>35</v>
      </c>
      <c r="E317" s="136">
        <v>35</v>
      </c>
      <c r="F317" s="137">
        <v>35</v>
      </c>
      <c r="G317" s="136">
        <v>35</v>
      </c>
      <c r="H317" s="136">
        <v>35</v>
      </c>
      <c r="I317" s="136">
        <v>35</v>
      </c>
      <c r="J317" s="136">
        <v>35</v>
      </c>
      <c r="K317" s="136">
        <v>35</v>
      </c>
      <c r="L317" s="136">
        <v>35</v>
      </c>
      <c r="M317" s="136">
        <v>35</v>
      </c>
      <c r="N317" s="136">
        <v>35</v>
      </c>
      <c r="O317" s="136">
        <v>35</v>
      </c>
      <c r="P317" s="136">
        <v>35</v>
      </c>
      <c r="Q317" s="136">
        <v>35</v>
      </c>
      <c r="R317" s="136">
        <v>35</v>
      </c>
      <c r="S317" s="136">
        <v>35</v>
      </c>
      <c r="T317" s="136">
        <v>35</v>
      </c>
      <c r="U317" s="136">
        <v>35</v>
      </c>
      <c r="V317" s="136">
        <v>35</v>
      </c>
      <c r="W317" s="136">
        <v>35</v>
      </c>
      <c r="X317" s="136">
        <v>35</v>
      </c>
      <c r="Y317" s="136">
        <v>35</v>
      </c>
      <c r="Z317" s="136">
        <v>35</v>
      </c>
      <c r="AA317" s="136">
        <v>35</v>
      </c>
      <c r="AB317" s="136">
        <v>35</v>
      </c>
      <c r="AC317" s="136">
        <v>35</v>
      </c>
      <c r="AD317" s="136">
        <v>35</v>
      </c>
      <c r="AE317" s="136">
        <v>35</v>
      </c>
      <c r="AF317" s="136">
        <v>35</v>
      </c>
      <c r="AG317" s="136">
        <v>35</v>
      </c>
      <c r="AH317" s="136">
        <v>35</v>
      </c>
    </row>
    <row r="318" spans="2:34" s="1" customFormat="1" ht="13.5" x14ac:dyDescent="0.25">
      <c r="F318" s="91"/>
      <c r="Y318" s="199"/>
      <c r="Z318" s="199"/>
      <c r="AA318" s="199"/>
      <c r="AB318" s="199"/>
      <c r="AC318" s="199"/>
      <c r="AD318" s="199"/>
      <c r="AE318" s="272"/>
      <c r="AF318" s="272"/>
      <c r="AG318" s="272"/>
    </row>
    <row r="319" spans="2:34" s="1" customFormat="1" ht="13.5" x14ac:dyDescent="0.25">
      <c r="B319" s="20" t="s">
        <v>52</v>
      </c>
      <c r="C319" s="138">
        <v>365</v>
      </c>
      <c r="F319" s="91"/>
      <c r="W319" s="199"/>
      <c r="X319" s="199"/>
      <c r="Y319" s="199"/>
      <c r="Z319" s="199"/>
      <c r="AA319" s="199"/>
      <c r="AB319" s="199"/>
      <c r="AC319" s="199"/>
      <c r="AD319" s="199"/>
      <c r="AE319" s="140"/>
      <c r="AF319" s="140"/>
      <c r="AG319" s="140"/>
    </row>
    <row r="320" spans="2:34" s="1" customFormat="1" ht="13.5" x14ac:dyDescent="0.25">
      <c r="B320" s="20" t="s">
        <v>40</v>
      </c>
      <c r="C320" s="139">
        <v>40</v>
      </c>
      <c r="D320" s="141">
        <v>4</v>
      </c>
      <c r="F320" s="91"/>
      <c r="W320" s="199"/>
      <c r="X320" s="199"/>
      <c r="Y320" s="199"/>
      <c r="Z320" s="199"/>
      <c r="AA320" s="199"/>
      <c r="AB320" s="199"/>
      <c r="AC320" s="199"/>
      <c r="AD320" s="199"/>
      <c r="AE320" s="140"/>
      <c r="AF320" s="140"/>
      <c r="AG320" s="140"/>
    </row>
    <row r="321" spans="2:34" s="1" customFormat="1" ht="13.5" x14ac:dyDescent="0.25">
      <c r="B321" s="20" t="s">
        <v>398</v>
      </c>
      <c r="C321" s="139">
        <v>30</v>
      </c>
      <c r="D321" s="142">
        <v>60</v>
      </c>
      <c r="F321" s="91"/>
      <c r="W321" s="199"/>
      <c r="X321" s="199"/>
      <c r="Y321" s="199"/>
      <c r="Z321" s="199"/>
      <c r="AA321" s="199"/>
      <c r="AB321" s="199"/>
      <c r="AC321" s="199"/>
      <c r="AD321" s="199"/>
      <c r="AE321" s="140"/>
      <c r="AF321" s="140"/>
      <c r="AG321" s="140"/>
    </row>
    <row r="322" spans="2:34" s="1" customFormat="1" ht="13.5" x14ac:dyDescent="0.25">
      <c r="B322" s="20" t="s">
        <v>53</v>
      </c>
      <c r="C322" s="139">
        <v>35</v>
      </c>
      <c r="D322" s="142">
        <v>40</v>
      </c>
      <c r="F322" s="91"/>
      <c r="W322" s="199"/>
      <c r="X322" s="199"/>
      <c r="Y322" s="199"/>
      <c r="Z322" s="199"/>
      <c r="AA322" s="199"/>
      <c r="AB322" s="199"/>
      <c r="AC322" s="199"/>
      <c r="AD322" s="199"/>
      <c r="AE322" s="140"/>
      <c r="AF322" s="140"/>
      <c r="AG322" s="140"/>
    </row>
    <row r="323" spans="2:34" ht="13.5" x14ac:dyDescent="0.25">
      <c r="B323" s="94"/>
      <c r="C323" s="273"/>
      <c r="W323" s="244"/>
      <c r="X323" s="244"/>
      <c r="Y323" s="274"/>
      <c r="Z323" s="274"/>
      <c r="AA323" s="274"/>
      <c r="AB323" s="274"/>
      <c r="AC323" s="274"/>
      <c r="AD323" s="274"/>
      <c r="AE323" s="168"/>
      <c r="AF323" s="168"/>
      <c r="AG323" s="168"/>
    </row>
    <row r="324" spans="2:34" ht="15.75" x14ac:dyDescent="0.2">
      <c r="B324" s="233" t="s">
        <v>317</v>
      </c>
    </row>
    <row r="325" spans="2:34" s="1" customFormat="1" ht="13.5" x14ac:dyDescent="0.25">
      <c r="B325" s="454" t="s">
        <v>54</v>
      </c>
      <c r="C325" s="455" t="s">
        <v>55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456"/>
      <c r="R325" s="456"/>
      <c r="S325" s="456"/>
      <c r="T325" s="456"/>
      <c r="U325" s="456"/>
      <c r="V325" s="456"/>
      <c r="W325" s="456"/>
      <c r="X325" s="456"/>
      <c r="Y325" s="456"/>
      <c r="Z325" s="456"/>
      <c r="AA325" s="456"/>
      <c r="AB325" s="456"/>
      <c r="AC325" s="456"/>
      <c r="AD325" s="456"/>
      <c r="AE325" s="456"/>
      <c r="AF325" s="456"/>
      <c r="AG325" s="456"/>
      <c r="AH325" s="457"/>
    </row>
    <row r="326" spans="2:34" s="1" customFormat="1" ht="13.5" x14ac:dyDescent="0.25">
      <c r="B326" s="454"/>
      <c r="C326" s="143">
        <v>2021</v>
      </c>
      <c r="D326" s="144">
        <f>C326+1</f>
        <v>2022</v>
      </c>
      <c r="E326" s="144">
        <f t="shared" ref="E326:AH326" si="218">D326+1</f>
        <v>2023</v>
      </c>
      <c r="F326" s="144">
        <f t="shared" si="218"/>
        <v>2024</v>
      </c>
      <c r="G326" s="144">
        <f t="shared" si="218"/>
        <v>2025</v>
      </c>
      <c r="H326" s="144">
        <f t="shared" si="218"/>
        <v>2026</v>
      </c>
      <c r="I326" s="144">
        <f t="shared" si="218"/>
        <v>2027</v>
      </c>
      <c r="J326" s="144">
        <f t="shared" si="218"/>
        <v>2028</v>
      </c>
      <c r="K326" s="144">
        <f t="shared" si="218"/>
        <v>2029</v>
      </c>
      <c r="L326" s="144">
        <f t="shared" si="218"/>
        <v>2030</v>
      </c>
      <c r="M326" s="144">
        <f t="shared" si="218"/>
        <v>2031</v>
      </c>
      <c r="N326" s="144">
        <f t="shared" si="218"/>
        <v>2032</v>
      </c>
      <c r="O326" s="144">
        <f t="shared" si="218"/>
        <v>2033</v>
      </c>
      <c r="P326" s="144">
        <f t="shared" si="218"/>
        <v>2034</v>
      </c>
      <c r="Q326" s="144">
        <f t="shared" si="218"/>
        <v>2035</v>
      </c>
      <c r="R326" s="144">
        <f t="shared" si="218"/>
        <v>2036</v>
      </c>
      <c r="S326" s="144">
        <f t="shared" si="218"/>
        <v>2037</v>
      </c>
      <c r="T326" s="144">
        <f t="shared" si="218"/>
        <v>2038</v>
      </c>
      <c r="U326" s="144">
        <f t="shared" si="218"/>
        <v>2039</v>
      </c>
      <c r="V326" s="144">
        <f t="shared" si="218"/>
        <v>2040</v>
      </c>
      <c r="W326" s="144">
        <f t="shared" si="218"/>
        <v>2041</v>
      </c>
      <c r="X326" s="144">
        <f t="shared" si="218"/>
        <v>2042</v>
      </c>
      <c r="Y326" s="144">
        <f t="shared" si="218"/>
        <v>2043</v>
      </c>
      <c r="Z326" s="144">
        <f t="shared" si="218"/>
        <v>2044</v>
      </c>
      <c r="AA326" s="144">
        <f t="shared" si="218"/>
        <v>2045</v>
      </c>
      <c r="AB326" s="144">
        <f t="shared" si="218"/>
        <v>2046</v>
      </c>
      <c r="AC326" s="144">
        <f t="shared" si="218"/>
        <v>2047</v>
      </c>
      <c r="AD326" s="144">
        <f t="shared" si="218"/>
        <v>2048</v>
      </c>
      <c r="AE326" s="144">
        <f t="shared" si="218"/>
        <v>2049</v>
      </c>
      <c r="AF326" s="144">
        <f t="shared" si="218"/>
        <v>2050</v>
      </c>
      <c r="AG326" s="144">
        <f t="shared" si="218"/>
        <v>2051</v>
      </c>
      <c r="AH326" s="144">
        <f t="shared" si="218"/>
        <v>2052</v>
      </c>
    </row>
    <row r="327" spans="2:34" s="1" customFormat="1" ht="13.5" x14ac:dyDescent="0.25">
      <c r="B327" s="145" t="s">
        <v>56</v>
      </c>
      <c r="C327" s="146"/>
      <c r="D327" s="147"/>
      <c r="E327" s="147"/>
      <c r="F327" s="91"/>
    </row>
    <row r="328" spans="2:34" s="1" customFormat="1" ht="13.5" x14ac:dyDescent="0.25">
      <c r="B328" s="148" t="s">
        <v>57</v>
      </c>
      <c r="C328" s="149">
        <f>1048*10%*1000000</f>
        <v>104800000.00000001</v>
      </c>
      <c r="D328" s="150"/>
      <c r="E328" s="150"/>
      <c r="F328" s="91"/>
    </row>
    <row r="329" spans="2:34" s="1" customFormat="1" ht="13.5" x14ac:dyDescent="0.25">
      <c r="B329" s="148" t="s">
        <v>58</v>
      </c>
      <c r="C329" s="151">
        <f>INT(39*(1+L7)*(1+M7)*(1+N7)*(1+O7)*(1+P7)*(1+Q7)*(1+R7)+(1+S7))</f>
        <v>45</v>
      </c>
      <c r="D329" s="152"/>
      <c r="E329" s="153" t="s">
        <v>301</v>
      </c>
      <c r="F329" s="91"/>
    </row>
    <row r="330" spans="2:34" s="1" customFormat="1" ht="13.5" x14ac:dyDescent="0.25">
      <c r="B330" s="148" t="s">
        <v>59</v>
      </c>
      <c r="C330" s="154">
        <f>INT(C329*(1+20%))</f>
        <v>54</v>
      </c>
      <c r="D330" s="150"/>
      <c r="E330" s="150"/>
      <c r="F330" s="91"/>
    </row>
    <row r="331" spans="2:34" s="1" customFormat="1" ht="13.5" x14ac:dyDescent="0.25">
      <c r="B331" s="155" t="s">
        <v>60</v>
      </c>
      <c r="C331" s="146"/>
      <c r="D331" s="146"/>
      <c r="E331" s="146"/>
      <c r="F331" s="91"/>
    </row>
    <row r="332" spans="2:34" s="51" customFormat="1" ht="13.5" x14ac:dyDescent="0.25">
      <c r="B332" s="116" t="s">
        <v>61</v>
      </c>
      <c r="C332" s="117">
        <v>2500</v>
      </c>
      <c r="D332" s="117">
        <v>800</v>
      </c>
      <c r="E332" s="379">
        <v>1500</v>
      </c>
      <c r="F332" s="117">
        <v>500</v>
      </c>
      <c r="G332" s="117">
        <v>100</v>
      </c>
      <c r="H332" s="117">
        <v>50</v>
      </c>
      <c r="I332" s="379">
        <v>40</v>
      </c>
      <c r="J332" s="379">
        <v>0</v>
      </c>
      <c r="K332" s="117">
        <v>0</v>
      </c>
      <c r="L332" s="117">
        <v>0</v>
      </c>
      <c r="M332" s="117">
        <v>0</v>
      </c>
      <c r="N332" s="379">
        <v>0</v>
      </c>
      <c r="O332" s="117">
        <v>0</v>
      </c>
      <c r="P332" s="117">
        <v>0</v>
      </c>
      <c r="Q332" s="117">
        <v>0</v>
      </c>
      <c r="R332" s="379">
        <v>0</v>
      </c>
      <c r="S332" s="117">
        <v>0</v>
      </c>
      <c r="T332" s="117">
        <v>0</v>
      </c>
      <c r="U332" s="117">
        <v>0</v>
      </c>
      <c r="V332" s="379">
        <v>0</v>
      </c>
      <c r="W332" s="117">
        <v>0</v>
      </c>
      <c r="X332" s="117">
        <v>0</v>
      </c>
      <c r="Y332" s="117">
        <v>0</v>
      </c>
      <c r="Z332" s="379">
        <v>0</v>
      </c>
      <c r="AA332" s="117">
        <v>0</v>
      </c>
      <c r="AB332" s="117">
        <v>0</v>
      </c>
      <c r="AC332" s="117">
        <v>0</v>
      </c>
      <c r="AD332" s="379">
        <v>0</v>
      </c>
      <c r="AE332" s="117">
        <v>0</v>
      </c>
      <c r="AF332" s="117">
        <v>0</v>
      </c>
      <c r="AG332" s="117">
        <v>0</v>
      </c>
      <c r="AH332" s="379">
        <v>0</v>
      </c>
    </row>
    <row r="333" spans="2:34" s="1" customFormat="1" ht="13.5" x14ac:dyDescent="0.25">
      <c r="B333" s="148" t="s">
        <v>62</v>
      </c>
      <c r="C333" s="156">
        <f>ROUND(823.6*(L8+1)*(1+M8)*(1+N8)*(O8+1)*(1+P8)*(Q8+1)*(1+R8)*(1+S8),2)</f>
        <v>1037.98</v>
      </c>
      <c r="D333" s="156"/>
      <c r="E333" s="156"/>
      <c r="F333" s="91"/>
    </row>
    <row r="334" spans="2:34" s="1" customFormat="1" ht="13.5" x14ac:dyDescent="0.25">
      <c r="B334" s="148" t="s">
        <v>63</v>
      </c>
      <c r="C334" s="117">
        <v>3</v>
      </c>
      <c r="D334" s="117"/>
      <c r="E334" s="117"/>
      <c r="F334" s="91"/>
    </row>
    <row r="335" spans="2:34" s="1" customFormat="1" ht="13.5" x14ac:dyDescent="0.25">
      <c r="B335" s="148" t="s">
        <v>62</v>
      </c>
      <c r="C335" s="156">
        <f>ROUND(646.7*(L8+1)*(1+M8)*(1+N8)*(O8+1)*(1+P8)*(Q8+1)*(1+R8)*(1+S8),2)</f>
        <v>815.04</v>
      </c>
      <c r="D335" s="156"/>
      <c r="E335" s="156"/>
      <c r="F335" s="91"/>
    </row>
    <row r="336" spans="2:34" s="1" customFormat="1" ht="13.5" x14ac:dyDescent="0.25">
      <c r="B336" s="148" t="s">
        <v>63</v>
      </c>
      <c r="C336" s="117">
        <v>9</v>
      </c>
      <c r="D336" s="117"/>
      <c r="E336" s="117"/>
      <c r="F336" s="91"/>
    </row>
    <row r="337" spans="2:34" s="1" customFormat="1" ht="13.5" x14ac:dyDescent="0.25">
      <c r="B337" s="148" t="s">
        <v>64</v>
      </c>
      <c r="C337" s="156">
        <f>ROUND(1750*(L8+1)*(1+M8)*(1+N8)*(O8+1)*(1+P8)*(Q8+1)*(1+R8)*(1+S8),-2)</f>
        <v>2200</v>
      </c>
      <c r="D337" s="156"/>
      <c r="E337" s="156"/>
      <c r="F337" s="91"/>
    </row>
    <row r="338" spans="2:34" s="1" customFormat="1" ht="13.5" x14ac:dyDescent="0.25">
      <c r="B338" s="157" t="s">
        <v>65</v>
      </c>
      <c r="C338" s="158"/>
      <c r="D338" s="158"/>
      <c r="E338" s="158"/>
      <c r="F338" s="91"/>
    </row>
    <row r="339" spans="2:34" s="51" customFormat="1" ht="13.5" x14ac:dyDescent="0.25">
      <c r="B339" s="161" t="s">
        <v>66</v>
      </c>
      <c r="C339" s="118">
        <v>50</v>
      </c>
      <c r="D339" s="118">
        <v>20</v>
      </c>
      <c r="E339" s="118">
        <v>25</v>
      </c>
      <c r="F339" s="119">
        <v>10</v>
      </c>
      <c r="G339" s="119">
        <v>5</v>
      </c>
      <c r="H339" s="119">
        <v>3</v>
      </c>
      <c r="I339" s="119">
        <v>2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>
        <v>0</v>
      </c>
      <c r="AB339" s="119">
        <v>0</v>
      </c>
      <c r="AC339" s="119">
        <v>0</v>
      </c>
      <c r="AD339" s="119">
        <v>0</v>
      </c>
      <c r="AE339" s="119">
        <v>0</v>
      </c>
      <c r="AF339" s="119">
        <v>0</v>
      </c>
      <c r="AG339" s="119">
        <v>0</v>
      </c>
      <c r="AH339" s="119">
        <v>0</v>
      </c>
    </row>
    <row r="340" spans="2:34" s="51" customFormat="1" ht="13.5" x14ac:dyDescent="0.25">
      <c r="B340" s="161" t="s">
        <v>67</v>
      </c>
      <c r="C340" s="118">
        <f>C339*20000</f>
        <v>1000000</v>
      </c>
      <c r="D340" s="118">
        <f t="shared" ref="D340:AH340" si="219">D339*20000</f>
        <v>400000</v>
      </c>
      <c r="E340" s="118">
        <f t="shared" si="219"/>
        <v>500000</v>
      </c>
      <c r="F340" s="118">
        <f t="shared" si="219"/>
        <v>200000</v>
      </c>
      <c r="G340" s="118">
        <f t="shared" si="219"/>
        <v>100000</v>
      </c>
      <c r="H340" s="118">
        <f t="shared" si="219"/>
        <v>60000</v>
      </c>
      <c r="I340" s="118">
        <f t="shared" si="219"/>
        <v>40000</v>
      </c>
      <c r="J340" s="118">
        <f t="shared" si="219"/>
        <v>0</v>
      </c>
      <c r="K340" s="118">
        <f t="shared" si="219"/>
        <v>0</v>
      </c>
      <c r="L340" s="118">
        <f t="shared" si="219"/>
        <v>0</v>
      </c>
      <c r="M340" s="118">
        <f t="shared" si="219"/>
        <v>0</v>
      </c>
      <c r="N340" s="118">
        <f t="shared" si="219"/>
        <v>0</v>
      </c>
      <c r="O340" s="118">
        <f t="shared" si="219"/>
        <v>0</v>
      </c>
      <c r="P340" s="118">
        <f t="shared" si="219"/>
        <v>0</v>
      </c>
      <c r="Q340" s="118">
        <f t="shared" si="219"/>
        <v>0</v>
      </c>
      <c r="R340" s="118">
        <f t="shared" si="219"/>
        <v>0</v>
      </c>
      <c r="S340" s="118">
        <f t="shared" si="219"/>
        <v>0</v>
      </c>
      <c r="T340" s="118">
        <f t="shared" si="219"/>
        <v>0</v>
      </c>
      <c r="U340" s="118">
        <f t="shared" si="219"/>
        <v>0</v>
      </c>
      <c r="V340" s="118">
        <f t="shared" si="219"/>
        <v>0</v>
      </c>
      <c r="W340" s="118">
        <f t="shared" si="219"/>
        <v>0</v>
      </c>
      <c r="X340" s="118">
        <f t="shared" si="219"/>
        <v>0</v>
      </c>
      <c r="Y340" s="118">
        <f t="shared" si="219"/>
        <v>0</v>
      </c>
      <c r="Z340" s="118">
        <f t="shared" si="219"/>
        <v>0</v>
      </c>
      <c r="AA340" s="118">
        <f t="shared" si="219"/>
        <v>0</v>
      </c>
      <c r="AB340" s="118">
        <f t="shared" si="219"/>
        <v>0</v>
      </c>
      <c r="AC340" s="118">
        <f t="shared" si="219"/>
        <v>0</v>
      </c>
      <c r="AD340" s="118">
        <f t="shared" si="219"/>
        <v>0</v>
      </c>
      <c r="AE340" s="118">
        <f t="shared" si="219"/>
        <v>0</v>
      </c>
      <c r="AF340" s="118">
        <f t="shared" si="219"/>
        <v>0</v>
      </c>
      <c r="AG340" s="118">
        <f t="shared" si="219"/>
        <v>0</v>
      </c>
      <c r="AH340" s="118">
        <f t="shared" si="219"/>
        <v>0</v>
      </c>
    </row>
    <row r="341" spans="2:34" s="1" customFormat="1" ht="13.5" x14ac:dyDescent="0.25">
      <c r="B341" s="160" t="s">
        <v>68</v>
      </c>
      <c r="C341" s="146"/>
      <c r="D341" s="146"/>
      <c r="E341" s="146"/>
      <c r="F341" s="91"/>
    </row>
    <row r="342" spans="2:34" s="1" customFormat="1" ht="13.5" x14ac:dyDescent="0.25">
      <c r="B342" s="161" t="s">
        <v>69</v>
      </c>
      <c r="C342" s="162">
        <f>ROUND(1585.04*(1+K7)*(1+L7)*(1+M7)*(1+N7)*(1+O7)*(1+P7)*(1+Q7)*(1+R7)+(1+S7),2)</f>
        <v>1821.5</v>
      </c>
      <c r="D342" s="162"/>
      <c r="E342" s="162"/>
      <c r="F342" s="91"/>
    </row>
    <row r="343" spans="2:34" s="1" customFormat="1" ht="27" x14ac:dyDescent="0.25">
      <c r="B343" s="161" t="s">
        <v>70</v>
      </c>
      <c r="C343" s="163">
        <v>3.5000000000000003E-2</v>
      </c>
      <c r="D343" s="163"/>
      <c r="E343" s="163"/>
      <c r="F343" s="91"/>
    </row>
  </sheetData>
  <mergeCells count="18">
    <mergeCell ref="B325:B326"/>
    <mergeCell ref="C325:AH325"/>
    <mergeCell ref="I227:I228"/>
    <mergeCell ref="B227:B228"/>
    <mergeCell ref="D169:D170"/>
    <mergeCell ref="E169:E170"/>
    <mergeCell ref="F169:F170"/>
    <mergeCell ref="G169:G170"/>
    <mergeCell ref="H169:H170"/>
    <mergeCell ref="I169:I170"/>
    <mergeCell ref="C169:C170"/>
    <mergeCell ref="C227:C228"/>
    <mergeCell ref="D227:D228"/>
    <mergeCell ref="E227:E228"/>
    <mergeCell ref="F227:F228"/>
    <mergeCell ref="G227:G228"/>
    <mergeCell ref="H227:H228"/>
    <mergeCell ref="B169:B170"/>
  </mergeCells>
  <pageMargins left="0.39370078740157483" right="0.47244094488188981" top="0.70866141732283472" bottom="0.82677165354330717" header="0.51181102362204722" footer="0.51181102362204722"/>
  <pageSetup paperSize="8" scale="20" orientation="landscape" r:id="rId1"/>
  <headerFooter alignWithMargins="0"/>
  <rowBreaks count="2" manualBreakCount="2">
    <brk id="136" max="41" man="1"/>
    <brk id="279" max="4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J381"/>
  <sheetViews>
    <sheetView view="pageBreakPreview" topLeftCell="A265" zoomScale="60" zoomScaleNormal="70" workbookViewId="0">
      <selection activeCell="D28" sqref="D28"/>
    </sheetView>
  </sheetViews>
  <sheetFormatPr defaultColWidth="9.140625" defaultRowHeight="12.75" x14ac:dyDescent="0.2"/>
  <cols>
    <col min="1" max="1" width="35.140625" style="237" customWidth="1"/>
    <col min="2" max="8" width="13.42578125" style="168" customWidth="1"/>
    <col min="9" max="10" width="14.5703125" style="168" bestFit="1" customWidth="1"/>
    <col min="11" max="15" width="14.5703125" style="168" hidden="1" customWidth="1"/>
    <col min="16" max="16" width="14.5703125" style="168" customWidth="1"/>
    <col min="17" max="21" width="14.5703125" style="168" hidden="1" customWidth="1"/>
    <col min="22" max="22" width="14.5703125" style="168" customWidth="1"/>
    <col min="23" max="26" width="14.5703125" style="168" hidden="1" customWidth="1"/>
    <col min="27" max="27" width="13.42578125" style="168" hidden="1" customWidth="1"/>
    <col min="28" max="28" width="13.42578125" style="168" customWidth="1"/>
    <col min="29" max="32" width="13.42578125" style="168" hidden="1" customWidth="1"/>
    <col min="33" max="33" width="13.42578125" style="168" customWidth="1"/>
    <col min="34" max="36" width="10" style="168" bestFit="1" customWidth="1"/>
    <col min="37" max="16384" width="9.140625" style="168"/>
  </cols>
  <sheetData>
    <row r="1" spans="1:33" ht="25.5" x14ac:dyDescent="0.35">
      <c r="A1" s="252" t="s">
        <v>302</v>
      </c>
    </row>
    <row r="2" spans="1:33" s="140" customFormat="1" ht="15.75" x14ac:dyDescent="0.2">
      <c r="A2" s="233" t="s">
        <v>400</v>
      </c>
    </row>
    <row r="3" spans="1:33" s="140" customFormat="1" ht="13.5" x14ac:dyDescent="0.2">
      <c r="A3" s="223" t="s">
        <v>44</v>
      </c>
      <c r="B3" s="18">
        <v>2013</v>
      </c>
      <c r="C3" s="18">
        <f>B3+1</f>
        <v>2014</v>
      </c>
      <c r="D3" s="18">
        <f t="shared" ref="D3:AG3" si="0">C3+1</f>
        <v>2015</v>
      </c>
      <c r="E3" s="18">
        <f t="shared" si="0"/>
        <v>2016</v>
      </c>
      <c r="F3" s="18">
        <f t="shared" si="0"/>
        <v>2017</v>
      </c>
      <c r="G3" s="18">
        <f t="shared" si="0"/>
        <v>2018</v>
      </c>
      <c r="H3" s="18">
        <f t="shared" si="0"/>
        <v>2019</v>
      </c>
      <c r="I3" s="18">
        <f t="shared" si="0"/>
        <v>2020</v>
      </c>
      <c r="J3" s="18">
        <f t="shared" si="0"/>
        <v>2021</v>
      </c>
      <c r="K3" s="18">
        <f t="shared" si="0"/>
        <v>2022</v>
      </c>
      <c r="L3" s="18">
        <f t="shared" si="0"/>
        <v>2023</v>
      </c>
      <c r="M3" s="18">
        <f t="shared" si="0"/>
        <v>2024</v>
      </c>
      <c r="N3" s="18">
        <f t="shared" si="0"/>
        <v>2025</v>
      </c>
      <c r="O3" s="18">
        <f t="shared" si="0"/>
        <v>2026</v>
      </c>
      <c r="P3" s="18">
        <f t="shared" si="0"/>
        <v>2027</v>
      </c>
      <c r="Q3" s="18">
        <f t="shared" si="0"/>
        <v>2028</v>
      </c>
      <c r="R3" s="18">
        <f t="shared" si="0"/>
        <v>2029</v>
      </c>
      <c r="S3" s="18">
        <f t="shared" si="0"/>
        <v>2030</v>
      </c>
      <c r="T3" s="18">
        <f t="shared" si="0"/>
        <v>2031</v>
      </c>
      <c r="U3" s="18">
        <f t="shared" si="0"/>
        <v>2032</v>
      </c>
      <c r="V3" s="18">
        <f t="shared" si="0"/>
        <v>2033</v>
      </c>
      <c r="W3" s="18">
        <f t="shared" si="0"/>
        <v>2034</v>
      </c>
      <c r="X3" s="18">
        <f t="shared" si="0"/>
        <v>2035</v>
      </c>
      <c r="Y3" s="18">
        <f t="shared" si="0"/>
        <v>2036</v>
      </c>
      <c r="Z3" s="18">
        <f t="shared" si="0"/>
        <v>2037</v>
      </c>
      <c r="AA3" s="18">
        <f t="shared" si="0"/>
        <v>2038</v>
      </c>
      <c r="AB3" s="18">
        <f t="shared" si="0"/>
        <v>2039</v>
      </c>
      <c r="AC3" s="18">
        <f t="shared" si="0"/>
        <v>2040</v>
      </c>
      <c r="AD3" s="18">
        <f t="shared" si="0"/>
        <v>2041</v>
      </c>
      <c r="AE3" s="18">
        <f t="shared" si="0"/>
        <v>2042</v>
      </c>
      <c r="AF3" s="18">
        <f t="shared" si="0"/>
        <v>2043</v>
      </c>
      <c r="AG3" s="18">
        <f t="shared" si="0"/>
        <v>2044</v>
      </c>
    </row>
    <row r="4" spans="1:33" s="195" customFormat="1" ht="24" customHeight="1" x14ac:dyDescent="0.2">
      <c r="A4" s="209" t="s">
        <v>318</v>
      </c>
      <c r="B4" s="224">
        <f t="shared" ref="B4:AG4" si="1">SUM(B5:B7)</f>
        <v>0</v>
      </c>
      <c r="C4" s="224">
        <f t="shared" si="1"/>
        <v>0</v>
      </c>
      <c r="D4" s="224">
        <f t="shared" si="1"/>
        <v>0</v>
      </c>
      <c r="E4" s="224">
        <f t="shared" si="1"/>
        <v>0</v>
      </c>
      <c r="F4" s="224">
        <f t="shared" si="1"/>
        <v>0</v>
      </c>
      <c r="G4" s="224">
        <f t="shared" si="1"/>
        <v>0</v>
      </c>
      <c r="H4" s="224">
        <f t="shared" si="1"/>
        <v>0</v>
      </c>
      <c r="I4" s="224">
        <f t="shared" si="1"/>
        <v>205612315</v>
      </c>
      <c r="J4" s="224">
        <f t="shared" si="1"/>
        <v>200472007.125</v>
      </c>
      <c r="K4" s="224">
        <f t="shared" si="1"/>
        <v>195331699.25</v>
      </c>
      <c r="L4" s="224">
        <f t="shared" si="1"/>
        <v>190191391.375</v>
      </c>
      <c r="M4" s="224">
        <f t="shared" si="1"/>
        <v>185051083.5</v>
      </c>
      <c r="N4" s="224">
        <f t="shared" si="1"/>
        <v>179910775.625</v>
      </c>
      <c r="O4" s="224">
        <f t="shared" si="1"/>
        <v>174770467.75</v>
      </c>
      <c r="P4" s="224">
        <f t="shared" si="1"/>
        <v>169630159.875</v>
      </c>
      <c r="Q4" s="224">
        <f t="shared" si="1"/>
        <v>164489852</v>
      </c>
      <c r="R4" s="224">
        <f t="shared" si="1"/>
        <v>159349544.125</v>
      </c>
      <c r="S4" s="224">
        <f t="shared" si="1"/>
        <v>154209236.25</v>
      </c>
      <c r="T4" s="224">
        <f t="shared" si="1"/>
        <v>149068928.375</v>
      </c>
      <c r="U4" s="224">
        <f t="shared" si="1"/>
        <v>143928620.5</v>
      </c>
      <c r="V4" s="224">
        <f t="shared" si="1"/>
        <v>138788312.625</v>
      </c>
      <c r="W4" s="224">
        <f t="shared" si="1"/>
        <v>133648004.75</v>
      </c>
      <c r="X4" s="224">
        <f t="shared" si="1"/>
        <v>128507696.875</v>
      </c>
      <c r="Y4" s="224">
        <f t="shared" si="1"/>
        <v>123367389</v>
      </c>
      <c r="Z4" s="224">
        <f t="shared" si="1"/>
        <v>118227081.125</v>
      </c>
      <c r="AA4" s="224">
        <f t="shared" si="1"/>
        <v>113086773.25</v>
      </c>
      <c r="AB4" s="224">
        <f t="shared" si="1"/>
        <v>107946465.375</v>
      </c>
      <c r="AC4" s="224">
        <f t="shared" si="1"/>
        <v>102806157.5</v>
      </c>
      <c r="AD4" s="224">
        <f t="shared" si="1"/>
        <v>97665849.625</v>
      </c>
      <c r="AE4" s="224">
        <f t="shared" si="1"/>
        <v>92525541.75</v>
      </c>
      <c r="AF4" s="224">
        <f t="shared" si="1"/>
        <v>87385233.875</v>
      </c>
      <c r="AG4" s="224">
        <f t="shared" si="1"/>
        <v>82244926</v>
      </c>
    </row>
    <row r="5" spans="1:33" s="228" customFormat="1" ht="11.25" customHeight="1" x14ac:dyDescent="0.2">
      <c r="A5" s="225" t="s">
        <v>304</v>
      </c>
      <c r="B5" s="226"/>
      <c r="C5" s="226"/>
      <c r="D5" s="226"/>
      <c r="E5" s="226"/>
      <c r="F5" s="226"/>
      <c r="G5" s="226"/>
      <c r="H5" s="226"/>
      <c r="I5" s="226">
        <f>SUM('Założenia-dane wejściowe '!C224:H224)</f>
        <v>205612315</v>
      </c>
      <c r="J5" s="227">
        <f t="shared" ref="J5:AG5" si="2">I5-J21</f>
        <v>200472007.125</v>
      </c>
      <c r="K5" s="227">
        <f t="shared" si="2"/>
        <v>195331699.25</v>
      </c>
      <c r="L5" s="227">
        <f t="shared" si="2"/>
        <v>190191391.375</v>
      </c>
      <c r="M5" s="227">
        <f t="shared" si="2"/>
        <v>185051083.5</v>
      </c>
      <c r="N5" s="227">
        <f t="shared" si="2"/>
        <v>179910775.625</v>
      </c>
      <c r="O5" s="227">
        <f t="shared" si="2"/>
        <v>174770467.75</v>
      </c>
      <c r="P5" s="227">
        <f t="shared" si="2"/>
        <v>169630159.875</v>
      </c>
      <c r="Q5" s="227">
        <f t="shared" si="2"/>
        <v>164489852</v>
      </c>
      <c r="R5" s="227">
        <f t="shared" si="2"/>
        <v>159349544.125</v>
      </c>
      <c r="S5" s="227">
        <f t="shared" si="2"/>
        <v>154209236.25</v>
      </c>
      <c r="T5" s="227">
        <f t="shared" si="2"/>
        <v>149068928.375</v>
      </c>
      <c r="U5" s="227">
        <f t="shared" si="2"/>
        <v>143928620.5</v>
      </c>
      <c r="V5" s="227">
        <f t="shared" si="2"/>
        <v>138788312.625</v>
      </c>
      <c r="W5" s="227">
        <f t="shared" si="2"/>
        <v>133648004.75</v>
      </c>
      <c r="X5" s="227">
        <f t="shared" si="2"/>
        <v>128507696.875</v>
      </c>
      <c r="Y5" s="227">
        <f t="shared" si="2"/>
        <v>123367389</v>
      </c>
      <c r="Z5" s="227">
        <f t="shared" si="2"/>
        <v>118227081.125</v>
      </c>
      <c r="AA5" s="227">
        <f t="shared" si="2"/>
        <v>113086773.25</v>
      </c>
      <c r="AB5" s="227">
        <f t="shared" si="2"/>
        <v>107946465.375</v>
      </c>
      <c r="AC5" s="227">
        <f t="shared" si="2"/>
        <v>102806157.5</v>
      </c>
      <c r="AD5" s="227">
        <f t="shared" si="2"/>
        <v>97665849.625</v>
      </c>
      <c r="AE5" s="227">
        <f t="shared" si="2"/>
        <v>92525541.75</v>
      </c>
      <c r="AF5" s="227">
        <f t="shared" si="2"/>
        <v>87385233.875</v>
      </c>
      <c r="AG5" s="227">
        <f t="shared" si="2"/>
        <v>82244926</v>
      </c>
    </row>
    <row r="6" spans="1:33" s="228" customFormat="1" ht="11.25" customHeight="1" x14ac:dyDescent="0.2">
      <c r="A6" s="225" t="s">
        <v>303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9"/>
      <c r="AC6" s="226"/>
      <c r="AD6" s="226"/>
      <c r="AE6" s="226"/>
      <c r="AF6" s="226"/>
      <c r="AG6" s="226"/>
    </row>
    <row r="7" spans="1:33" s="228" customFormat="1" ht="11.25" customHeight="1" x14ac:dyDescent="0.2">
      <c r="A7" s="225" t="s">
        <v>305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9"/>
      <c r="AC7" s="226"/>
      <c r="AD7" s="226"/>
      <c r="AE7" s="226"/>
      <c r="AF7" s="226"/>
      <c r="AG7" s="226"/>
    </row>
    <row r="8" spans="1:33" s="195" customFormat="1" ht="27" x14ac:dyDescent="0.2">
      <c r="A8" s="209" t="s">
        <v>319</v>
      </c>
      <c r="B8" s="224">
        <f>SUM(B9:B11)</f>
        <v>0</v>
      </c>
      <c r="C8" s="224">
        <f t="shared" ref="C8:AG8" si="3">SUM(C9:C11)</f>
        <v>0</v>
      </c>
      <c r="D8" s="224">
        <f t="shared" si="3"/>
        <v>0</v>
      </c>
      <c r="E8" s="224">
        <f t="shared" si="3"/>
        <v>0</v>
      </c>
      <c r="F8" s="224">
        <f t="shared" si="3"/>
        <v>0</v>
      </c>
      <c r="G8" s="224">
        <f t="shared" si="3"/>
        <v>48500000</v>
      </c>
      <c r="H8" s="224">
        <f t="shared" si="3"/>
        <v>45590000</v>
      </c>
      <c r="I8" s="224">
        <f t="shared" si="3"/>
        <v>222722098</v>
      </c>
      <c r="J8" s="224">
        <f t="shared" si="3"/>
        <v>215311045.55000001</v>
      </c>
      <c r="K8" s="224">
        <f t="shared" si="3"/>
        <v>207899993.10000002</v>
      </c>
      <c r="L8" s="224">
        <f t="shared" si="3"/>
        <v>200488940.65000004</v>
      </c>
      <c r="M8" s="224">
        <f t="shared" si="3"/>
        <v>193077888.20000005</v>
      </c>
      <c r="N8" s="224">
        <f t="shared" si="3"/>
        <v>185666835.75000006</v>
      </c>
      <c r="O8" s="224">
        <f t="shared" si="3"/>
        <v>178255783.30000007</v>
      </c>
      <c r="P8" s="224">
        <f t="shared" si="3"/>
        <v>170844730.85000008</v>
      </c>
      <c r="Q8" s="224">
        <f t="shared" si="3"/>
        <v>163433678.4000001</v>
      </c>
      <c r="R8" s="224">
        <f t="shared" si="3"/>
        <v>156022625.95000011</v>
      </c>
      <c r="S8" s="224">
        <f t="shared" si="3"/>
        <v>148611573.50000012</v>
      </c>
      <c r="T8" s="224">
        <f t="shared" si="3"/>
        <v>141200521.05000013</v>
      </c>
      <c r="U8" s="224">
        <f t="shared" si="3"/>
        <v>133789468.60000011</v>
      </c>
      <c r="V8" s="224">
        <f t="shared" si="3"/>
        <v>126378416.15000011</v>
      </c>
      <c r="W8" s="224">
        <f t="shared" si="3"/>
        <v>118967363.70000011</v>
      </c>
      <c r="X8" s="224">
        <f t="shared" si="3"/>
        <v>112526311.2500001</v>
      </c>
      <c r="Y8" s="224">
        <f t="shared" si="3"/>
        <v>108025258.8000001</v>
      </c>
      <c r="Z8" s="224">
        <f t="shared" si="3"/>
        <v>103524206.3500001</v>
      </c>
      <c r="AA8" s="224">
        <f t="shared" si="3"/>
        <v>99023153.900000095</v>
      </c>
      <c r="AB8" s="224">
        <f t="shared" si="3"/>
        <v>94522101.450000092</v>
      </c>
      <c r="AC8" s="224">
        <f t="shared" si="3"/>
        <v>90021049.000000089</v>
      </c>
      <c r="AD8" s="224">
        <f t="shared" si="3"/>
        <v>85519996.550000086</v>
      </c>
      <c r="AE8" s="224">
        <f t="shared" si="3"/>
        <v>81018944.100000083</v>
      </c>
      <c r="AF8" s="224">
        <f t="shared" si="3"/>
        <v>76517891.65000008</v>
      </c>
      <c r="AG8" s="224">
        <f t="shared" si="3"/>
        <v>72016839.200000077</v>
      </c>
    </row>
    <row r="9" spans="1:33" s="228" customFormat="1" ht="11.25" customHeight="1" x14ac:dyDescent="0.2">
      <c r="A9" s="225" t="s">
        <v>304</v>
      </c>
      <c r="B9" s="226"/>
      <c r="C9" s="226"/>
      <c r="D9" s="226"/>
      <c r="E9" s="226"/>
      <c r="F9" s="226"/>
      <c r="G9" s="226"/>
      <c r="H9" s="226"/>
      <c r="I9" s="226">
        <f>SUM('Założenia-dane wejściowe '!C286:H286)-SUM('Założenia-dane wejściowe '!D235:I235)</f>
        <v>180042098</v>
      </c>
      <c r="J9" s="226">
        <f>I9-J25</f>
        <v>175541045.55000001</v>
      </c>
      <c r="K9" s="226">
        <f t="shared" ref="K9:AG9" si="4">J9-K25</f>
        <v>171039993.10000002</v>
      </c>
      <c r="L9" s="226">
        <f t="shared" si="4"/>
        <v>166538940.65000004</v>
      </c>
      <c r="M9" s="226">
        <f t="shared" si="4"/>
        <v>162037888.20000005</v>
      </c>
      <c r="N9" s="226">
        <f t="shared" si="4"/>
        <v>157536835.75000006</v>
      </c>
      <c r="O9" s="226">
        <f t="shared" si="4"/>
        <v>153035783.30000007</v>
      </c>
      <c r="P9" s="226">
        <f t="shared" si="4"/>
        <v>148534730.85000008</v>
      </c>
      <c r="Q9" s="226">
        <f t="shared" si="4"/>
        <v>144033678.4000001</v>
      </c>
      <c r="R9" s="226">
        <f t="shared" si="4"/>
        <v>139532625.95000011</v>
      </c>
      <c r="S9" s="226">
        <f t="shared" si="4"/>
        <v>135031573.50000012</v>
      </c>
      <c r="T9" s="226">
        <f t="shared" si="4"/>
        <v>130530521.05000012</v>
      </c>
      <c r="U9" s="226">
        <f t="shared" si="4"/>
        <v>126029468.60000011</v>
      </c>
      <c r="V9" s="226">
        <f t="shared" si="4"/>
        <v>121528416.15000011</v>
      </c>
      <c r="W9" s="226">
        <f t="shared" si="4"/>
        <v>117027363.70000011</v>
      </c>
      <c r="X9" s="226">
        <f t="shared" si="4"/>
        <v>112526311.2500001</v>
      </c>
      <c r="Y9" s="226">
        <f t="shared" si="4"/>
        <v>108025258.8000001</v>
      </c>
      <c r="Z9" s="226">
        <f t="shared" si="4"/>
        <v>103524206.3500001</v>
      </c>
      <c r="AA9" s="226">
        <f t="shared" si="4"/>
        <v>99023153.900000095</v>
      </c>
      <c r="AB9" s="226">
        <f t="shared" si="4"/>
        <v>94522101.450000092</v>
      </c>
      <c r="AC9" s="226">
        <f t="shared" si="4"/>
        <v>90021049.000000089</v>
      </c>
      <c r="AD9" s="226">
        <f t="shared" si="4"/>
        <v>85519996.550000086</v>
      </c>
      <c r="AE9" s="226">
        <f t="shared" si="4"/>
        <v>81018944.100000083</v>
      </c>
      <c r="AF9" s="226">
        <f t="shared" si="4"/>
        <v>76517891.65000008</v>
      </c>
      <c r="AG9" s="226">
        <f t="shared" si="4"/>
        <v>72016839.200000077</v>
      </c>
    </row>
    <row r="10" spans="1:33" s="228" customFormat="1" ht="11.25" customHeight="1" x14ac:dyDescent="0.2">
      <c r="A10" s="225" t="s">
        <v>303</v>
      </c>
      <c r="B10" s="226"/>
      <c r="C10" s="226"/>
      <c r="D10" s="226"/>
      <c r="E10" s="226"/>
      <c r="F10" s="226"/>
      <c r="G10" s="226">
        <f>SUM('Założenia-dane wejściowe '!D235:I235)</f>
        <v>48500000</v>
      </c>
      <c r="H10" s="226">
        <f>G10-H26</f>
        <v>45590000</v>
      </c>
      <c r="I10" s="226">
        <f>H10-I26</f>
        <v>42680000</v>
      </c>
      <c r="J10" s="226">
        <f t="shared" ref="J10:AG10" si="5">I10-J26</f>
        <v>39770000</v>
      </c>
      <c r="K10" s="226">
        <f t="shared" si="5"/>
        <v>36860000</v>
      </c>
      <c r="L10" s="226">
        <f t="shared" si="5"/>
        <v>33950000</v>
      </c>
      <c r="M10" s="226">
        <f t="shared" si="5"/>
        <v>31040000</v>
      </c>
      <c r="N10" s="226">
        <f t="shared" si="5"/>
        <v>28130000</v>
      </c>
      <c r="O10" s="226">
        <f t="shared" si="5"/>
        <v>25220000</v>
      </c>
      <c r="P10" s="226">
        <f t="shared" si="5"/>
        <v>22310000</v>
      </c>
      <c r="Q10" s="226">
        <f t="shared" si="5"/>
        <v>19400000</v>
      </c>
      <c r="R10" s="226">
        <f t="shared" si="5"/>
        <v>16490000</v>
      </c>
      <c r="S10" s="226">
        <f t="shared" si="5"/>
        <v>13580000</v>
      </c>
      <c r="T10" s="226">
        <f t="shared" si="5"/>
        <v>10670000</v>
      </c>
      <c r="U10" s="226">
        <f t="shared" si="5"/>
        <v>7760000</v>
      </c>
      <c r="V10" s="226">
        <f t="shared" si="5"/>
        <v>4850000</v>
      </c>
      <c r="W10" s="226">
        <f t="shared" si="5"/>
        <v>1940000</v>
      </c>
      <c r="X10" s="226">
        <f t="shared" si="5"/>
        <v>0</v>
      </c>
      <c r="Y10" s="226">
        <f t="shared" si="5"/>
        <v>0</v>
      </c>
      <c r="Z10" s="226">
        <f t="shared" si="5"/>
        <v>0</v>
      </c>
      <c r="AA10" s="226">
        <f t="shared" si="5"/>
        <v>0</v>
      </c>
      <c r="AB10" s="226">
        <f t="shared" si="5"/>
        <v>0</v>
      </c>
      <c r="AC10" s="226">
        <f t="shared" si="5"/>
        <v>0</v>
      </c>
      <c r="AD10" s="226">
        <f t="shared" si="5"/>
        <v>0</v>
      </c>
      <c r="AE10" s="226">
        <f t="shared" si="5"/>
        <v>0</v>
      </c>
      <c r="AF10" s="226">
        <f t="shared" si="5"/>
        <v>0</v>
      </c>
      <c r="AG10" s="226">
        <f t="shared" si="5"/>
        <v>0</v>
      </c>
    </row>
    <row r="11" spans="1:33" s="228" customFormat="1" ht="11.25" customHeight="1" x14ac:dyDescent="0.2">
      <c r="A11" s="225" t="s">
        <v>305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9"/>
      <c r="AC11" s="226"/>
      <c r="AD11" s="226"/>
      <c r="AE11" s="226"/>
      <c r="AF11" s="226"/>
      <c r="AG11" s="226"/>
    </row>
    <row r="12" spans="1:33" s="195" customFormat="1" ht="27" x14ac:dyDescent="0.2">
      <c r="A12" s="209" t="s">
        <v>307</v>
      </c>
      <c r="B12" s="224">
        <f>SUM(B13:B15)</f>
        <v>0</v>
      </c>
      <c r="C12" s="224">
        <f t="shared" ref="C12:AG12" si="6">SUM(C13:C15)</f>
        <v>0</v>
      </c>
      <c r="D12" s="224">
        <f t="shared" si="6"/>
        <v>0</v>
      </c>
      <c r="E12" s="224">
        <f t="shared" si="6"/>
        <v>0</v>
      </c>
      <c r="F12" s="224">
        <f t="shared" si="6"/>
        <v>0</v>
      </c>
      <c r="G12" s="224">
        <f t="shared" si="6"/>
        <v>0</v>
      </c>
      <c r="H12" s="224">
        <f t="shared" si="6"/>
        <v>0</v>
      </c>
      <c r="I12" s="224">
        <f t="shared" si="6"/>
        <v>0</v>
      </c>
      <c r="J12" s="224">
        <f t="shared" si="6"/>
        <v>0</v>
      </c>
      <c r="K12" s="224">
        <f t="shared" si="6"/>
        <v>0</v>
      </c>
      <c r="L12" s="224">
        <f t="shared" si="6"/>
        <v>0</v>
      </c>
      <c r="M12" s="224">
        <f t="shared" si="6"/>
        <v>0</v>
      </c>
      <c r="N12" s="224">
        <f t="shared" si="6"/>
        <v>0</v>
      </c>
      <c r="O12" s="224">
        <f t="shared" si="6"/>
        <v>0</v>
      </c>
      <c r="P12" s="224">
        <f t="shared" si="6"/>
        <v>0</v>
      </c>
      <c r="Q12" s="224">
        <f t="shared" si="6"/>
        <v>0</v>
      </c>
      <c r="R12" s="224">
        <f t="shared" si="6"/>
        <v>0</v>
      </c>
      <c r="S12" s="224">
        <f t="shared" si="6"/>
        <v>9881515.75</v>
      </c>
      <c r="T12" s="224">
        <f t="shared" si="6"/>
        <v>9634477.8562499993</v>
      </c>
      <c r="U12" s="224">
        <f t="shared" si="6"/>
        <v>9387439.9624999985</v>
      </c>
      <c r="V12" s="224">
        <f t="shared" si="6"/>
        <v>9140402.0687499978</v>
      </c>
      <c r="W12" s="224">
        <f t="shared" si="6"/>
        <v>8893364.174999997</v>
      </c>
      <c r="X12" s="224">
        <f t="shared" si="6"/>
        <v>18527842.031249996</v>
      </c>
      <c r="Y12" s="224">
        <f t="shared" si="6"/>
        <v>18033766.243749995</v>
      </c>
      <c r="Z12" s="224">
        <f t="shared" si="6"/>
        <v>17539690.456249993</v>
      </c>
      <c r="AA12" s="224">
        <f t="shared" si="6"/>
        <v>17045614.668749992</v>
      </c>
      <c r="AB12" s="224">
        <f t="shared" si="6"/>
        <v>16551538.881249992</v>
      </c>
      <c r="AC12" s="224">
        <f t="shared" si="6"/>
        <v>25938978.843749993</v>
      </c>
      <c r="AD12" s="224">
        <f t="shared" si="6"/>
        <v>25197865.162499994</v>
      </c>
      <c r="AE12" s="224">
        <f t="shared" si="6"/>
        <v>24456751.481249996</v>
      </c>
      <c r="AF12" s="224">
        <f t="shared" si="6"/>
        <v>23715637.799999997</v>
      </c>
      <c r="AG12" s="224">
        <f t="shared" si="6"/>
        <v>22974524.118749999</v>
      </c>
    </row>
    <row r="13" spans="1:33" s="228" customFormat="1" ht="13.5" x14ac:dyDescent="0.2">
      <c r="A13" s="225" t="s">
        <v>304</v>
      </c>
      <c r="B13" s="226">
        <f>'Założenia-dane wejściowe '!C291</f>
        <v>0</v>
      </c>
      <c r="C13" s="226">
        <f>B13+'Założenia-dane wejściowe '!D291-C29</f>
        <v>0</v>
      </c>
      <c r="D13" s="226">
        <f>C13+'Założenia-dane wejściowe '!E291</f>
        <v>0</v>
      </c>
      <c r="E13" s="226">
        <f>D13+'Założenia-dane wejściowe '!F291</f>
        <v>0</v>
      </c>
      <c r="F13" s="226">
        <f>E13+'Założenia-dane wejściowe '!G291</f>
        <v>0</v>
      </c>
      <c r="G13" s="226">
        <f>F13+'Założenia-dane wejściowe '!H291</f>
        <v>0</v>
      </c>
      <c r="H13" s="226">
        <f>G13+'Założenia-dane wejściowe '!I291</f>
        <v>0</v>
      </c>
      <c r="I13" s="226">
        <f>H13+'Założenia-dane wejściowe '!J291</f>
        <v>0</v>
      </c>
      <c r="J13" s="226">
        <f>I13+'Założenia-dane wejściowe '!K291</f>
        <v>0</v>
      </c>
      <c r="K13" s="226">
        <f>J13+'Założenia-dane wejściowe '!L291</f>
        <v>0</v>
      </c>
      <c r="L13" s="226">
        <f>K13+'Założenia-dane wejściowe '!M291</f>
        <v>0</v>
      </c>
      <c r="M13" s="226">
        <f>L13+'Założenia-dane wejściowe '!N291</f>
        <v>0</v>
      </c>
      <c r="N13" s="226">
        <f>M13+'Założenia-dane wejściowe '!O291</f>
        <v>0</v>
      </c>
      <c r="O13" s="226">
        <f>N13+'Założenia-dane wejściowe '!P291</f>
        <v>0</v>
      </c>
      <c r="P13" s="226">
        <f>O13+'Założenia-dane wejściowe '!Q291</f>
        <v>0</v>
      </c>
      <c r="Q13" s="226">
        <f>P13+'Założenia-dane wejściowe '!R291</f>
        <v>0</v>
      </c>
      <c r="R13" s="226">
        <f>Q13+'Założenia-dane wejściowe '!S291</f>
        <v>0</v>
      </c>
      <c r="S13" s="226">
        <f>R13+'Założenia-dane wejściowe '!T291</f>
        <v>9881515.75</v>
      </c>
      <c r="T13" s="226">
        <f>S13+'Założenia-dane wejściowe '!U291-T29</f>
        <v>9634477.8562499993</v>
      </c>
      <c r="U13" s="226">
        <f>T13+'Założenia-dane wejściowe '!V291-U29</f>
        <v>9387439.9624999985</v>
      </c>
      <c r="V13" s="226">
        <f>U13+'Założenia-dane wejściowe '!W291-V29</f>
        <v>9140402.0687499978</v>
      </c>
      <c r="W13" s="226">
        <f>V13+'Założenia-dane wejściowe '!X291-W29</f>
        <v>8893364.174999997</v>
      </c>
      <c r="X13" s="226">
        <f>W13+'Założenia-dane wejściowe '!Y291-X29</f>
        <v>18527842.031249996</v>
      </c>
      <c r="Y13" s="226">
        <f>X13+'Założenia-dane wejściowe '!Z291-Y29</f>
        <v>18033766.243749995</v>
      </c>
      <c r="Z13" s="226">
        <f>Y13+'Założenia-dane wejściowe '!AA291-Z29</f>
        <v>17539690.456249993</v>
      </c>
      <c r="AA13" s="226">
        <f>Z13+'Założenia-dane wejściowe '!AB291-AA29</f>
        <v>17045614.668749992</v>
      </c>
      <c r="AB13" s="226">
        <f>AA13+'Założenia-dane wejściowe '!AC291-AB29</f>
        <v>16551538.881249992</v>
      </c>
      <c r="AC13" s="226">
        <f>AB13+'Założenia-dane wejściowe '!AD291-AC29</f>
        <v>25938978.843749993</v>
      </c>
      <c r="AD13" s="226">
        <f>AC13+'Założenia-dane wejściowe '!AE291-AD29</f>
        <v>25197865.162499994</v>
      </c>
      <c r="AE13" s="226">
        <f>AD13+'Założenia-dane wejściowe '!AF291-AE29</f>
        <v>24456751.481249996</v>
      </c>
      <c r="AF13" s="226">
        <f>AE13+'Założenia-dane wejściowe '!AG291-AF29</f>
        <v>23715637.799999997</v>
      </c>
      <c r="AG13" s="226">
        <f>AF13+'Założenia-dane wejściowe '!AH291-AG29</f>
        <v>22974524.118749999</v>
      </c>
    </row>
    <row r="14" spans="1:33" s="228" customFormat="1" ht="13.5" x14ac:dyDescent="0.2">
      <c r="A14" s="225" t="s">
        <v>303</v>
      </c>
      <c r="B14" s="226">
        <f>'Założenia-dane wejściowe '!C292</f>
        <v>0</v>
      </c>
      <c r="C14" s="226">
        <f>B14+'Założenia-dane wejściowe '!D292</f>
        <v>0</v>
      </c>
      <c r="D14" s="226">
        <f>C14+'Założenia-dane wejściowe '!E292</f>
        <v>0</v>
      </c>
      <c r="E14" s="226">
        <f>D14+'Założenia-dane wejściowe '!F292</f>
        <v>0</v>
      </c>
      <c r="F14" s="226">
        <f>E14+'Założenia-dane wejściowe '!G292</f>
        <v>0</v>
      </c>
      <c r="G14" s="226">
        <f>F14+'Założenia-dane wejściowe '!H292</f>
        <v>0</v>
      </c>
      <c r="H14" s="226">
        <f>G14+'Założenia-dane wejściowe '!I292</f>
        <v>0</v>
      </c>
      <c r="I14" s="226">
        <f>H14+'Założenia-dane wejściowe '!J292</f>
        <v>0</v>
      </c>
      <c r="J14" s="226">
        <f>I14+'Założenia-dane wejściowe '!K292</f>
        <v>0</v>
      </c>
      <c r="K14" s="226">
        <f>J14+'Założenia-dane wejściowe '!L292</f>
        <v>0</v>
      </c>
      <c r="L14" s="226">
        <f>K14+'Założenia-dane wejściowe '!M292</f>
        <v>0</v>
      </c>
      <c r="M14" s="226">
        <f>L14+'Założenia-dane wejściowe '!N292</f>
        <v>0</v>
      </c>
      <c r="N14" s="226">
        <f>M14+'Założenia-dane wejściowe '!O292</f>
        <v>0</v>
      </c>
      <c r="O14" s="226">
        <f>N14+'Założenia-dane wejściowe '!P292</f>
        <v>0</v>
      </c>
      <c r="P14" s="226">
        <f>O14+'Założenia-dane wejściowe '!Q292</f>
        <v>0</v>
      </c>
      <c r="Q14" s="226">
        <f>P14+'Założenia-dane wejściowe '!R292</f>
        <v>0</v>
      </c>
      <c r="R14" s="226">
        <f>Q14+'Założenia-dane wejściowe '!S292</f>
        <v>0</v>
      </c>
      <c r="S14" s="226">
        <f>R14+'Założenia-dane wejściowe '!T292</f>
        <v>0</v>
      </c>
      <c r="T14" s="226">
        <f>S14+'Założenia-dane wejściowe '!U292</f>
        <v>0</v>
      </c>
      <c r="U14" s="226">
        <f>T14+'Założenia-dane wejściowe '!V292</f>
        <v>0</v>
      </c>
      <c r="V14" s="226">
        <f>U14+'Założenia-dane wejściowe '!W292</f>
        <v>0</v>
      </c>
      <c r="W14" s="226">
        <f>V14+'Założenia-dane wejściowe '!X292</f>
        <v>0</v>
      </c>
      <c r="X14" s="226">
        <f>W14+'Założenia-dane wejściowe '!Y292</f>
        <v>0</v>
      </c>
      <c r="Y14" s="226">
        <f>X14+'Założenia-dane wejściowe '!Z292</f>
        <v>0</v>
      </c>
      <c r="Z14" s="226">
        <f>Y14+'Założenia-dane wejściowe '!AA292</f>
        <v>0</v>
      </c>
      <c r="AA14" s="226">
        <f>Z14+'Założenia-dane wejściowe '!AB292</f>
        <v>0</v>
      </c>
      <c r="AB14" s="226">
        <f>AA14+'Założenia-dane wejściowe '!AC292</f>
        <v>0</v>
      </c>
      <c r="AC14" s="226">
        <f>AB14+'Założenia-dane wejściowe '!AD292</f>
        <v>0</v>
      </c>
      <c r="AD14" s="226">
        <f>AC14+'Założenia-dane wejściowe '!AE292</f>
        <v>0</v>
      </c>
      <c r="AE14" s="226">
        <f>AD14+'Założenia-dane wejściowe '!AF292</f>
        <v>0</v>
      </c>
      <c r="AF14" s="226">
        <f>AE14+'Założenia-dane wejściowe '!AG292</f>
        <v>0</v>
      </c>
      <c r="AG14" s="226">
        <f>AF14+'Założenia-dane wejściowe '!AH292</f>
        <v>0</v>
      </c>
    </row>
    <row r="15" spans="1:33" s="228" customFormat="1" ht="13.5" x14ac:dyDescent="0.2">
      <c r="A15" s="225" t="s">
        <v>305</v>
      </c>
      <c r="B15" s="226">
        <f>'Założenia-dane wejściowe '!C293</f>
        <v>0</v>
      </c>
      <c r="C15" s="226">
        <f>B15+'Założenia-dane wejściowe '!D293</f>
        <v>0</v>
      </c>
      <c r="D15" s="226">
        <f>C15+'Założenia-dane wejściowe '!E293</f>
        <v>0</v>
      </c>
      <c r="E15" s="226">
        <f>D15+'Założenia-dane wejściowe '!F293</f>
        <v>0</v>
      </c>
      <c r="F15" s="226">
        <f>E15+'Założenia-dane wejściowe '!G293</f>
        <v>0</v>
      </c>
      <c r="G15" s="226">
        <f>F15+'Założenia-dane wejściowe '!H293</f>
        <v>0</v>
      </c>
      <c r="H15" s="226">
        <f>G15+'Założenia-dane wejściowe '!I293</f>
        <v>0</v>
      </c>
      <c r="I15" s="226">
        <f>H15+'Założenia-dane wejściowe '!J293</f>
        <v>0</v>
      </c>
      <c r="J15" s="226">
        <f>I15+'Założenia-dane wejściowe '!K293</f>
        <v>0</v>
      </c>
      <c r="K15" s="226">
        <f>J15+'Założenia-dane wejściowe '!L293</f>
        <v>0</v>
      </c>
      <c r="L15" s="226">
        <f>K15+'Założenia-dane wejściowe '!M293</f>
        <v>0</v>
      </c>
      <c r="M15" s="226">
        <f>L15+'Założenia-dane wejściowe '!N293</f>
        <v>0</v>
      </c>
      <c r="N15" s="226">
        <f>M15+'Założenia-dane wejściowe '!O293</f>
        <v>0</v>
      </c>
      <c r="O15" s="226">
        <f>N15+'Założenia-dane wejściowe '!P293</f>
        <v>0</v>
      </c>
      <c r="P15" s="226">
        <f>O15+'Założenia-dane wejściowe '!Q293</f>
        <v>0</v>
      </c>
      <c r="Q15" s="226">
        <f>P15+'Założenia-dane wejściowe '!R293</f>
        <v>0</v>
      </c>
      <c r="R15" s="226">
        <f>Q15+'Założenia-dane wejściowe '!S293</f>
        <v>0</v>
      </c>
      <c r="S15" s="226">
        <f>R15+'Założenia-dane wejściowe '!T293</f>
        <v>0</v>
      </c>
      <c r="T15" s="226">
        <f>S15+'Założenia-dane wejściowe '!U293</f>
        <v>0</v>
      </c>
      <c r="U15" s="226">
        <f>T15+'Założenia-dane wejściowe '!V293</f>
        <v>0</v>
      </c>
      <c r="V15" s="226">
        <f>U15+'Założenia-dane wejściowe '!W293</f>
        <v>0</v>
      </c>
      <c r="W15" s="226">
        <f>V15+'Założenia-dane wejściowe '!X293</f>
        <v>0</v>
      </c>
      <c r="X15" s="226">
        <f>W15+'Założenia-dane wejściowe '!Y293</f>
        <v>0</v>
      </c>
      <c r="Y15" s="226">
        <f>X15+'Założenia-dane wejściowe '!Z293</f>
        <v>0</v>
      </c>
      <c r="Z15" s="226">
        <f>Y15+'Założenia-dane wejściowe '!AA293</f>
        <v>0</v>
      </c>
      <c r="AA15" s="226">
        <f>Z15+'Założenia-dane wejściowe '!AB293</f>
        <v>0</v>
      </c>
      <c r="AB15" s="226">
        <f>AA15+'Założenia-dane wejściowe '!AC293</f>
        <v>0</v>
      </c>
      <c r="AC15" s="226">
        <f>AB15+'Założenia-dane wejściowe '!AD293</f>
        <v>0</v>
      </c>
      <c r="AD15" s="226">
        <f>AC15+'Założenia-dane wejściowe '!AE293</f>
        <v>0</v>
      </c>
      <c r="AE15" s="226">
        <f>AD15+'Założenia-dane wejściowe '!AF293</f>
        <v>0</v>
      </c>
      <c r="AF15" s="226">
        <f>AE15+'Założenia-dane wejściowe '!AG293</f>
        <v>0</v>
      </c>
      <c r="AG15" s="226">
        <f>AF15+'Założenia-dane wejściowe '!AH293</f>
        <v>0</v>
      </c>
    </row>
    <row r="16" spans="1:33" s="195" customFormat="1" ht="27" x14ac:dyDescent="0.2">
      <c r="A16" s="209" t="s">
        <v>308</v>
      </c>
      <c r="B16" s="224">
        <f>SUM(B17:B19)</f>
        <v>0</v>
      </c>
      <c r="C16" s="224">
        <f t="shared" ref="C16:AG16" si="7">SUM(C17:C19)</f>
        <v>0</v>
      </c>
      <c r="D16" s="224">
        <f t="shared" si="7"/>
        <v>0</v>
      </c>
      <c r="E16" s="224">
        <f t="shared" si="7"/>
        <v>0</v>
      </c>
      <c r="F16" s="224">
        <f t="shared" si="7"/>
        <v>0</v>
      </c>
      <c r="G16" s="224">
        <f t="shared" si="7"/>
        <v>0</v>
      </c>
      <c r="H16" s="224">
        <f t="shared" si="7"/>
        <v>0</v>
      </c>
      <c r="I16" s="224">
        <f t="shared" si="7"/>
        <v>0</v>
      </c>
      <c r="J16" s="224">
        <f t="shared" si="7"/>
        <v>0</v>
      </c>
      <c r="K16" s="224">
        <f t="shared" si="7"/>
        <v>0</v>
      </c>
      <c r="L16" s="224">
        <f t="shared" si="7"/>
        <v>0</v>
      </c>
      <c r="M16" s="224">
        <f t="shared" si="7"/>
        <v>0</v>
      </c>
      <c r="N16" s="224">
        <f t="shared" si="7"/>
        <v>0</v>
      </c>
      <c r="O16" s="224">
        <f t="shared" si="7"/>
        <v>0</v>
      </c>
      <c r="P16" s="224">
        <f t="shared" si="7"/>
        <v>0</v>
      </c>
      <c r="Q16" s="224">
        <f t="shared" si="7"/>
        <v>0</v>
      </c>
      <c r="R16" s="224">
        <f t="shared" si="7"/>
        <v>0</v>
      </c>
      <c r="S16" s="224">
        <f t="shared" si="7"/>
        <v>10972954.9</v>
      </c>
      <c r="T16" s="224">
        <f t="shared" si="7"/>
        <v>10698631.0275</v>
      </c>
      <c r="U16" s="224">
        <f t="shared" si="7"/>
        <v>10424307.154999999</v>
      </c>
      <c r="V16" s="224">
        <f t="shared" si="7"/>
        <v>10149983.282499999</v>
      </c>
      <c r="W16" s="224">
        <f t="shared" si="7"/>
        <v>9875659.4099999983</v>
      </c>
      <c r="X16" s="224">
        <f t="shared" si="7"/>
        <v>20574290.4375</v>
      </c>
      <c r="Y16" s="224">
        <f t="shared" si="7"/>
        <v>62025642.692499995</v>
      </c>
      <c r="Z16" s="224">
        <f t="shared" si="7"/>
        <v>58956994.947499998</v>
      </c>
      <c r="AA16" s="224">
        <f t="shared" si="7"/>
        <v>55888347.202500001</v>
      </c>
      <c r="AB16" s="224">
        <f t="shared" si="7"/>
        <v>52819699.457499996</v>
      </c>
      <c r="AC16" s="224">
        <f t="shared" si="7"/>
        <v>60724006.612499997</v>
      </c>
      <c r="AD16" s="224">
        <f t="shared" si="7"/>
        <v>57381034.99499999</v>
      </c>
      <c r="AE16" s="224">
        <f t="shared" si="7"/>
        <v>54038063.377499998</v>
      </c>
      <c r="AF16" s="224">
        <f t="shared" si="7"/>
        <v>50695091.75999999</v>
      </c>
      <c r="AG16" s="224">
        <f t="shared" si="7"/>
        <v>47352120.142499998</v>
      </c>
    </row>
    <row r="17" spans="1:33" s="228" customFormat="1" ht="13.5" x14ac:dyDescent="0.2">
      <c r="A17" s="225" t="s">
        <v>304</v>
      </c>
      <c r="B17" s="226">
        <f>'Założenia-dane wejściowe '!C295</f>
        <v>0</v>
      </c>
      <c r="C17" s="226">
        <f>'Założenia-dane wejściowe '!D295</f>
        <v>0</v>
      </c>
      <c r="D17" s="226">
        <f>'Założenia-dane wejściowe '!E295</f>
        <v>0</v>
      </c>
      <c r="E17" s="226">
        <f>'Założenia-dane wejściowe '!F295</f>
        <v>0</v>
      </c>
      <c r="F17" s="226">
        <f>'Założenia-dane wejściowe '!G295</f>
        <v>0</v>
      </c>
      <c r="G17" s="226">
        <f>'Założenia-dane wejściowe '!H295</f>
        <v>0</v>
      </c>
      <c r="H17" s="226">
        <f>'Założenia-dane wejściowe '!I295</f>
        <v>0</v>
      </c>
      <c r="I17" s="226">
        <f>'Założenia-dane wejściowe '!J295</f>
        <v>0</v>
      </c>
      <c r="J17" s="226">
        <f>'Założenia-dane wejściowe '!K295</f>
        <v>0</v>
      </c>
      <c r="K17" s="226">
        <f>'Założenia-dane wejściowe '!L295</f>
        <v>0</v>
      </c>
      <c r="L17" s="226">
        <f>'Założenia-dane wejściowe '!M295</f>
        <v>0</v>
      </c>
      <c r="M17" s="226">
        <f>'Założenia-dane wejściowe '!N295</f>
        <v>0</v>
      </c>
      <c r="N17" s="226">
        <f>'Założenia-dane wejściowe '!O295</f>
        <v>0</v>
      </c>
      <c r="O17" s="226">
        <f>'Założenia-dane wejściowe '!P295</f>
        <v>0</v>
      </c>
      <c r="P17" s="226">
        <f>'Założenia-dane wejściowe '!Q295</f>
        <v>0</v>
      </c>
      <c r="Q17" s="226">
        <f>'Założenia-dane wejściowe '!R295</f>
        <v>0</v>
      </c>
      <c r="R17" s="226">
        <f>'Założenia-dane wejściowe '!S295</f>
        <v>0</v>
      </c>
      <c r="S17" s="226">
        <f>R17+'Założenia-dane wejściowe '!T295</f>
        <v>10972954.9</v>
      </c>
      <c r="T17" s="226">
        <f>S17+'Założenia-dane wejściowe '!U295-T33</f>
        <v>10698631.0275</v>
      </c>
      <c r="U17" s="226">
        <f>T17+'Założenia-dane wejściowe '!V295-U33</f>
        <v>10424307.154999999</v>
      </c>
      <c r="V17" s="226">
        <f>U17+'Założenia-dane wejściowe '!W295-V33</f>
        <v>10149983.282499999</v>
      </c>
      <c r="W17" s="226">
        <f>V17+'Założenia-dane wejściowe '!X295-W33</f>
        <v>9875659.4099999983</v>
      </c>
      <c r="X17" s="226">
        <f>W17+'Założenia-dane wejściowe '!Y295-X33</f>
        <v>20574290.4375</v>
      </c>
      <c r="Y17" s="226">
        <f>X17+'Założenia-dane wejściowe '!Z295-Y33</f>
        <v>20025642.692499999</v>
      </c>
      <c r="Z17" s="226">
        <f>Y17+'Założenia-dane wejściowe '!AA295-Z33</f>
        <v>19476994.947499998</v>
      </c>
      <c r="AA17" s="226">
        <f>Z17+'Założenia-dane wejściowe '!AB295-AA33</f>
        <v>18928347.202499997</v>
      </c>
      <c r="AB17" s="226">
        <f>AA17+'Założenia-dane wejściowe '!AC295-AB33</f>
        <v>18379699.457499996</v>
      </c>
      <c r="AC17" s="226">
        <f>AB17+'Założenia-dane wejściowe '!AD295-AC33</f>
        <v>28804006.612499993</v>
      </c>
      <c r="AD17" s="226">
        <f>AC17+'Założenia-dane wejściowe '!AE295-AD33</f>
        <v>27981034.994999994</v>
      </c>
      <c r="AE17" s="226">
        <f>AD17+'Założenia-dane wejściowe '!AF295-AE33</f>
        <v>27158063.377499994</v>
      </c>
      <c r="AF17" s="226">
        <f>AE17+'Założenia-dane wejściowe '!AG295-AF33</f>
        <v>26335091.759999994</v>
      </c>
      <c r="AG17" s="226">
        <f>AF17+'Założenia-dane wejściowe '!AH295-AG33</f>
        <v>25512120.142499994</v>
      </c>
    </row>
    <row r="18" spans="1:33" s="228" customFormat="1" ht="13.5" x14ac:dyDescent="0.2">
      <c r="A18" s="225" t="s">
        <v>303</v>
      </c>
      <c r="B18" s="226">
        <f>'Założenia-dane wejściowe '!C296</f>
        <v>0</v>
      </c>
      <c r="C18" s="226">
        <f>B18+'Założenia-dane wejściowe '!D296-C34</f>
        <v>0</v>
      </c>
      <c r="D18" s="226">
        <f>C18+'Założenia-dane wejściowe '!E296-D34</f>
        <v>0</v>
      </c>
      <c r="E18" s="226">
        <f>D18+'Założenia-dane wejściowe '!F296-E34</f>
        <v>0</v>
      </c>
      <c r="F18" s="226">
        <f>E18+'Założenia-dane wejściowe '!G296-F34</f>
        <v>0</v>
      </c>
      <c r="G18" s="226">
        <f>F18+'Założenia-dane wejściowe '!H296-G34</f>
        <v>0</v>
      </c>
      <c r="H18" s="226">
        <f>G18+'Założenia-dane wejściowe '!I296-H34</f>
        <v>0</v>
      </c>
      <c r="I18" s="226">
        <f>H18+'Założenia-dane wejściowe '!J296-I34</f>
        <v>0</v>
      </c>
      <c r="J18" s="226">
        <f>I18+'Założenia-dane wejściowe '!K296-J34</f>
        <v>0</v>
      </c>
      <c r="K18" s="226">
        <f>J18+'Założenia-dane wejściowe '!L296-K34</f>
        <v>0</v>
      </c>
      <c r="L18" s="226">
        <f>K18+'Założenia-dane wejściowe '!M296-L34</f>
        <v>0</v>
      </c>
      <c r="M18" s="226">
        <f>L18+'Założenia-dane wejściowe '!N296-M34</f>
        <v>0</v>
      </c>
      <c r="N18" s="226">
        <f>M18+'Założenia-dane wejściowe '!O296-N34</f>
        <v>0</v>
      </c>
      <c r="O18" s="226">
        <f>N18+'Założenia-dane wejściowe '!P296-O34</f>
        <v>0</v>
      </c>
      <c r="P18" s="226">
        <f>O18+'Założenia-dane wejściowe '!Q296-P34</f>
        <v>0</v>
      </c>
      <c r="Q18" s="226">
        <f>P18+'Założenia-dane wejściowe '!R296-Q34</f>
        <v>0</v>
      </c>
      <c r="R18" s="226">
        <f>Q18+'Założenia-dane wejściowe '!S296-R34</f>
        <v>0</v>
      </c>
      <c r="S18" s="226">
        <f>R18+'Założenia-dane wejściowe '!T296-S34</f>
        <v>0</v>
      </c>
      <c r="T18" s="226">
        <f>S18+'Założenia-dane wejściowe '!U296-T34</f>
        <v>0</v>
      </c>
      <c r="U18" s="226">
        <f>T18+'Założenia-dane wejściowe '!V296-U34</f>
        <v>0</v>
      </c>
      <c r="V18" s="226">
        <f>U18+'Założenia-dane wejściowe '!W296-V34</f>
        <v>0</v>
      </c>
      <c r="W18" s="226">
        <f>V18+'Założenia-dane wejściowe '!X296-W34</f>
        <v>0</v>
      </c>
      <c r="X18" s="226">
        <f>W18+'Założenia-dane wejściowe '!Y296-X34</f>
        <v>0</v>
      </c>
      <c r="Y18" s="226">
        <f>X18+'Założenia-dane wejściowe '!Z296-Y34</f>
        <v>42000000</v>
      </c>
      <c r="Z18" s="226">
        <f>Y18+'Założenia-dane wejściowe '!AA296-Z34</f>
        <v>39480000</v>
      </c>
      <c r="AA18" s="226">
        <f>Z18+'Założenia-dane wejściowe '!AB296-AA34</f>
        <v>36960000</v>
      </c>
      <c r="AB18" s="226">
        <f>AA18+'Założenia-dane wejściowe '!AC296-AB34</f>
        <v>34440000</v>
      </c>
      <c r="AC18" s="226">
        <f>AB18+'Założenia-dane wejściowe '!AD296-AC34</f>
        <v>31920000</v>
      </c>
      <c r="AD18" s="226">
        <f>AC18+'Założenia-dane wejściowe '!AE296-AD34</f>
        <v>29400000</v>
      </c>
      <c r="AE18" s="226">
        <f>AD18+'Założenia-dane wejściowe '!AF296-AE34</f>
        <v>26880000</v>
      </c>
      <c r="AF18" s="226">
        <f>AE18+'Założenia-dane wejściowe '!AG296-AF34</f>
        <v>24360000</v>
      </c>
      <c r="AG18" s="226">
        <f>AF18+'Założenia-dane wejściowe '!AH296-AG34</f>
        <v>21840000</v>
      </c>
    </row>
    <row r="19" spans="1:33" s="228" customFormat="1" ht="13.5" x14ac:dyDescent="0.2">
      <c r="A19" s="225" t="s">
        <v>305</v>
      </c>
      <c r="B19" s="226">
        <f>'Założenia-dane wejściowe '!C297</f>
        <v>0</v>
      </c>
      <c r="C19" s="226">
        <f>'Założenia-dane wejściowe '!D297</f>
        <v>0</v>
      </c>
      <c r="D19" s="226">
        <f>'Założenia-dane wejściowe '!E297</f>
        <v>0</v>
      </c>
      <c r="E19" s="226">
        <f>'Założenia-dane wejściowe '!F297</f>
        <v>0</v>
      </c>
      <c r="F19" s="226">
        <f>'Założenia-dane wejściowe '!G297</f>
        <v>0</v>
      </c>
      <c r="G19" s="226">
        <f>'Założenia-dane wejściowe '!H297</f>
        <v>0</v>
      </c>
      <c r="H19" s="226">
        <f>'Założenia-dane wejściowe '!I297</f>
        <v>0</v>
      </c>
      <c r="I19" s="226">
        <f>'Założenia-dane wejściowe '!J297</f>
        <v>0</v>
      </c>
      <c r="J19" s="226">
        <f>'Założenia-dane wejściowe '!K297</f>
        <v>0</v>
      </c>
      <c r="K19" s="226">
        <f>'Założenia-dane wejściowe '!L297</f>
        <v>0</v>
      </c>
      <c r="L19" s="226">
        <f>'Założenia-dane wejściowe '!M297</f>
        <v>0</v>
      </c>
      <c r="M19" s="226">
        <f>'Założenia-dane wejściowe '!N297</f>
        <v>0</v>
      </c>
      <c r="N19" s="226">
        <f>'Założenia-dane wejściowe '!O297</f>
        <v>0</v>
      </c>
      <c r="O19" s="226">
        <f>'Założenia-dane wejściowe '!P297</f>
        <v>0</v>
      </c>
      <c r="P19" s="226">
        <f>'Założenia-dane wejściowe '!Q297</f>
        <v>0</v>
      </c>
      <c r="Q19" s="226">
        <f>'Założenia-dane wejściowe '!R297</f>
        <v>0</v>
      </c>
      <c r="R19" s="226">
        <f>'Założenia-dane wejściowe '!S297</f>
        <v>0</v>
      </c>
      <c r="S19" s="226">
        <f>'Założenia-dane wejściowe '!T297</f>
        <v>0</v>
      </c>
      <c r="T19" s="226">
        <f>'Założenia-dane wejściowe '!U297</f>
        <v>0</v>
      </c>
      <c r="U19" s="226">
        <f>'Założenia-dane wejściowe '!V297</f>
        <v>0</v>
      </c>
      <c r="V19" s="226">
        <f>'Założenia-dane wejściowe '!W297</f>
        <v>0</v>
      </c>
      <c r="W19" s="226">
        <f>'Założenia-dane wejściowe '!X297</f>
        <v>0</v>
      </c>
      <c r="X19" s="226">
        <f>'Założenia-dane wejściowe '!Y297</f>
        <v>0</v>
      </c>
      <c r="Y19" s="226">
        <f>'Założenia-dane wejściowe '!Z297</f>
        <v>0</v>
      </c>
      <c r="Z19" s="226">
        <f>'Założenia-dane wejściowe '!AA297</f>
        <v>0</v>
      </c>
      <c r="AA19" s="226">
        <f>'Założenia-dane wejściowe '!AB297</f>
        <v>0</v>
      </c>
      <c r="AB19" s="226">
        <f>'Założenia-dane wejściowe '!AC297</f>
        <v>0</v>
      </c>
      <c r="AC19" s="226">
        <f>'Założenia-dane wejściowe '!AD297</f>
        <v>0</v>
      </c>
      <c r="AD19" s="226">
        <f>'Założenia-dane wejściowe '!AE297</f>
        <v>0</v>
      </c>
      <c r="AE19" s="226">
        <f>'Założenia-dane wejściowe '!AF297</f>
        <v>0</v>
      </c>
      <c r="AF19" s="226">
        <f>'Założenia-dane wejściowe '!AG297</f>
        <v>0</v>
      </c>
      <c r="AG19" s="226">
        <f>'Założenia-dane wejściowe '!AH297</f>
        <v>0</v>
      </c>
    </row>
    <row r="20" spans="1:33" s="195" customFormat="1" ht="24" customHeight="1" x14ac:dyDescent="0.2">
      <c r="A20" s="209" t="s">
        <v>320</v>
      </c>
      <c r="B20" s="224">
        <f t="shared" ref="B20:AG20" si="8">SUM(B21:B23)</f>
        <v>0</v>
      </c>
      <c r="C20" s="224">
        <f t="shared" si="8"/>
        <v>0</v>
      </c>
      <c r="D20" s="224">
        <f t="shared" si="8"/>
        <v>0</v>
      </c>
      <c r="E20" s="224">
        <f t="shared" si="8"/>
        <v>0</v>
      </c>
      <c r="F20" s="224">
        <f t="shared" si="8"/>
        <v>0</v>
      </c>
      <c r="G20" s="224">
        <f t="shared" si="8"/>
        <v>0</v>
      </c>
      <c r="H20" s="224">
        <f t="shared" si="8"/>
        <v>0</v>
      </c>
      <c r="I20" s="224">
        <f t="shared" si="8"/>
        <v>0</v>
      </c>
      <c r="J20" s="224">
        <f t="shared" si="8"/>
        <v>5140307.875</v>
      </c>
      <c r="K20" s="224">
        <f t="shared" si="8"/>
        <v>5140307.875</v>
      </c>
      <c r="L20" s="224">
        <f t="shared" si="8"/>
        <v>5140307.875</v>
      </c>
      <c r="M20" s="224">
        <f t="shared" si="8"/>
        <v>5140307.875</v>
      </c>
      <c r="N20" s="224">
        <f t="shared" si="8"/>
        <v>5140307.875</v>
      </c>
      <c r="O20" s="224">
        <f t="shared" si="8"/>
        <v>5140307.875</v>
      </c>
      <c r="P20" s="224">
        <f t="shared" si="8"/>
        <v>5140307.875</v>
      </c>
      <c r="Q20" s="224">
        <f t="shared" si="8"/>
        <v>5140307.875</v>
      </c>
      <c r="R20" s="224">
        <f t="shared" si="8"/>
        <v>5140307.875</v>
      </c>
      <c r="S20" s="224">
        <f t="shared" si="8"/>
        <v>5140307.875</v>
      </c>
      <c r="T20" s="224">
        <f t="shared" si="8"/>
        <v>5140307.875</v>
      </c>
      <c r="U20" s="224">
        <f t="shared" si="8"/>
        <v>5140307.875</v>
      </c>
      <c r="V20" s="224">
        <f t="shared" si="8"/>
        <v>5140307.875</v>
      </c>
      <c r="W20" s="224">
        <f t="shared" si="8"/>
        <v>5140307.875</v>
      </c>
      <c r="X20" s="224">
        <f t="shared" si="8"/>
        <v>5140307.875</v>
      </c>
      <c r="Y20" s="224">
        <f t="shared" si="8"/>
        <v>5140307.875</v>
      </c>
      <c r="Z20" s="224">
        <f t="shared" si="8"/>
        <v>5140307.875</v>
      </c>
      <c r="AA20" s="224">
        <f t="shared" si="8"/>
        <v>5140307.875</v>
      </c>
      <c r="AB20" s="224">
        <f t="shared" si="8"/>
        <v>5140307.875</v>
      </c>
      <c r="AC20" s="224">
        <f t="shared" si="8"/>
        <v>5140307.875</v>
      </c>
      <c r="AD20" s="224">
        <f t="shared" si="8"/>
        <v>5140307.875</v>
      </c>
      <c r="AE20" s="224">
        <f t="shared" si="8"/>
        <v>5140307.875</v>
      </c>
      <c r="AF20" s="224">
        <f t="shared" si="8"/>
        <v>5140307.875</v>
      </c>
      <c r="AG20" s="224">
        <f t="shared" si="8"/>
        <v>5140307.875</v>
      </c>
    </row>
    <row r="21" spans="1:33" s="228" customFormat="1" ht="11.25" customHeight="1" x14ac:dyDescent="0.2">
      <c r="A21" s="225" t="s">
        <v>304</v>
      </c>
      <c r="B21" s="226">
        <v>0</v>
      </c>
      <c r="C21" s="226">
        <f t="shared" ref="C21:I21" si="9">IF(C37*$I$5&gt;B5,B5,C37*$I$5)</f>
        <v>0</v>
      </c>
      <c r="D21" s="226">
        <f t="shared" si="9"/>
        <v>0</v>
      </c>
      <c r="E21" s="226">
        <f t="shared" si="9"/>
        <v>0</v>
      </c>
      <c r="F21" s="226">
        <f t="shared" si="9"/>
        <v>0</v>
      </c>
      <c r="G21" s="226">
        <f t="shared" si="9"/>
        <v>0</v>
      </c>
      <c r="H21" s="226">
        <f t="shared" si="9"/>
        <v>0</v>
      </c>
      <c r="I21" s="226">
        <f t="shared" si="9"/>
        <v>0</v>
      </c>
      <c r="J21" s="226">
        <f>IF(J37*$I$5&gt;I5,I5,J37*$I$5)</f>
        <v>5140307.875</v>
      </c>
      <c r="K21" s="226">
        <f t="shared" ref="K21:AG21" si="10">IF(K37*$I$5&gt;J5,J5,K37*$I$5)</f>
        <v>5140307.875</v>
      </c>
      <c r="L21" s="226">
        <f t="shared" si="10"/>
        <v>5140307.875</v>
      </c>
      <c r="M21" s="226">
        <f t="shared" si="10"/>
        <v>5140307.875</v>
      </c>
      <c r="N21" s="226">
        <f t="shared" si="10"/>
        <v>5140307.875</v>
      </c>
      <c r="O21" s="226">
        <f t="shared" si="10"/>
        <v>5140307.875</v>
      </c>
      <c r="P21" s="226">
        <f t="shared" si="10"/>
        <v>5140307.875</v>
      </c>
      <c r="Q21" s="226">
        <f t="shared" si="10"/>
        <v>5140307.875</v>
      </c>
      <c r="R21" s="226">
        <f t="shared" si="10"/>
        <v>5140307.875</v>
      </c>
      <c r="S21" s="226">
        <f t="shared" si="10"/>
        <v>5140307.875</v>
      </c>
      <c r="T21" s="226">
        <f t="shared" si="10"/>
        <v>5140307.875</v>
      </c>
      <c r="U21" s="226">
        <f t="shared" si="10"/>
        <v>5140307.875</v>
      </c>
      <c r="V21" s="226">
        <f t="shared" si="10"/>
        <v>5140307.875</v>
      </c>
      <c r="W21" s="226">
        <f t="shared" si="10"/>
        <v>5140307.875</v>
      </c>
      <c r="X21" s="226">
        <f t="shared" si="10"/>
        <v>5140307.875</v>
      </c>
      <c r="Y21" s="226">
        <f t="shared" si="10"/>
        <v>5140307.875</v>
      </c>
      <c r="Z21" s="226">
        <f t="shared" si="10"/>
        <v>5140307.875</v>
      </c>
      <c r="AA21" s="226">
        <f t="shared" si="10"/>
        <v>5140307.875</v>
      </c>
      <c r="AB21" s="226">
        <f t="shared" si="10"/>
        <v>5140307.875</v>
      </c>
      <c r="AC21" s="226">
        <f t="shared" si="10"/>
        <v>5140307.875</v>
      </c>
      <c r="AD21" s="226">
        <f t="shared" si="10"/>
        <v>5140307.875</v>
      </c>
      <c r="AE21" s="226">
        <f t="shared" si="10"/>
        <v>5140307.875</v>
      </c>
      <c r="AF21" s="226">
        <f t="shared" si="10"/>
        <v>5140307.875</v>
      </c>
      <c r="AG21" s="226">
        <f t="shared" si="10"/>
        <v>5140307.875</v>
      </c>
    </row>
    <row r="22" spans="1:33" s="228" customFormat="1" ht="11.25" customHeight="1" x14ac:dyDescent="0.2">
      <c r="A22" s="225" t="s">
        <v>303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9"/>
      <c r="AC22" s="226"/>
      <c r="AD22" s="226"/>
      <c r="AE22" s="226"/>
      <c r="AF22" s="226"/>
      <c r="AG22" s="226"/>
    </row>
    <row r="23" spans="1:33" s="228" customFormat="1" ht="11.25" customHeight="1" x14ac:dyDescent="0.2">
      <c r="A23" s="225" t="s">
        <v>305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9"/>
      <c r="AC23" s="226"/>
      <c r="AD23" s="226"/>
      <c r="AE23" s="226"/>
      <c r="AF23" s="226"/>
      <c r="AG23" s="226"/>
    </row>
    <row r="24" spans="1:33" s="195" customFormat="1" ht="27" x14ac:dyDescent="0.2">
      <c r="A24" s="209" t="s">
        <v>321</v>
      </c>
      <c r="B24" s="224">
        <f>SUM(B25:B27)</f>
        <v>0</v>
      </c>
      <c r="C24" s="224">
        <f t="shared" ref="C24:AG24" si="11">SUM(C25:C27)</f>
        <v>0</v>
      </c>
      <c r="D24" s="224">
        <f t="shared" si="11"/>
        <v>0</v>
      </c>
      <c r="E24" s="224">
        <f t="shared" si="11"/>
        <v>0</v>
      </c>
      <c r="F24" s="224">
        <f t="shared" si="11"/>
        <v>0</v>
      </c>
      <c r="G24" s="224">
        <f t="shared" si="11"/>
        <v>0</v>
      </c>
      <c r="H24" s="224">
        <f t="shared" si="11"/>
        <v>2910000</v>
      </c>
      <c r="I24" s="224">
        <f t="shared" si="11"/>
        <v>2910000</v>
      </c>
      <c r="J24" s="224">
        <f t="shared" si="11"/>
        <v>7411052.4500000002</v>
      </c>
      <c r="K24" s="224">
        <f t="shared" si="11"/>
        <v>7411052.4500000002</v>
      </c>
      <c r="L24" s="224">
        <f t="shared" si="11"/>
        <v>7411052.4500000002</v>
      </c>
      <c r="M24" s="224">
        <f t="shared" si="11"/>
        <v>7411052.4500000002</v>
      </c>
      <c r="N24" s="224">
        <f t="shared" si="11"/>
        <v>7411052.4500000002</v>
      </c>
      <c r="O24" s="224">
        <f t="shared" si="11"/>
        <v>7411052.4500000002</v>
      </c>
      <c r="P24" s="224">
        <f t="shared" si="11"/>
        <v>7411052.4500000002</v>
      </c>
      <c r="Q24" s="224">
        <f t="shared" si="11"/>
        <v>7411052.4500000002</v>
      </c>
      <c r="R24" s="224">
        <f t="shared" si="11"/>
        <v>7411052.4500000002</v>
      </c>
      <c r="S24" s="224">
        <f t="shared" si="11"/>
        <v>7411052.4500000002</v>
      </c>
      <c r="T24" s="224">
        <f t="shared" si="11"/>
        <v>7411052.4500000002</v>
      </c>
      <c r="U24" s="224">
        <f t="shared" si="11"/>
        <v>7411052.4500000002</v>
      </c>
      <c r="V24" s="224">
        <f t="shared" si="11"/>
        <v>7411052.4500000002</v>
      </c>
      <c r="W24" s="224">
        <f t="shared" si="11"/>
        <v>7411052.4500000002</v>
      </c>
      <c r="X24" s="224">
        <f t="shared" si="11"/>
        <v>6441052.4500000002</v>
      </c>
      <c r="Y24" s="224">
        <f t="shared" si="11"/>
        <v>4501052.45</v>
      </c>
      <c r="Z24" s="224">
        <f t="shared" si="11"/>
        <v>4501052.45</v>
      </c>
      <c r="AA24" s="224">
        <f t="shared" si="11"/>
        <v>4501052.45</v>
      </c>
      <c r="AB24" s="224">
        <f t="shared" si="11"/>
        <v>4501052.45</v>
      </c>
      <c r="AC24" s="224">
        <f t="shared" si="11"/>
        <v>4501052.45</v>
      </c>
      <c r="AD24" s="224">
        <f t="shared" si="11"/>
        <v>4501052.45</v>
      </c>
      <c r="AE24" s="224">
        <f t="shared" si="11"/>
        <v>4501052.45</v>
      </c>
      <c r="AF24" s="224">
        <f t="shared" si="11"/>
        <v>4501052.45</v>
      </c>
      <c r="AG24" s="224">
        <f t="shared" si="11"/>
        <v>4501052.45</v>
      </c>
    </row>
    <row r="25" spans="1:33" s="228" customFormat="1" ht="11.25" customHeight="1" x14ac:dyDescent="0.2">
      <c r="A25" s="225" t="s">
        <v>304</v>
      </c>
      <c r="B25" s="226">
        <f>0</f>
        <v>0</v>
      </c>
      <c r="C25" s="226">
        <f t="shared" ref="C25:H25" si="12">IF($I$9*C41&gt;B9,B9,$I$9*C41)</f>
        <v>0</v>
      </c>
      <c r="D25" s="226">
        <f t="shared" si="12"/>
        <v>0</v>
      </c>
      <c r="E25" s="226">
        <f t="shared" si="12"/>
        <v>0</v>
      </c>
      <c r="F25" s="226">
        <f t="shared" si="12"/>
        <v>0</v>
      </c>
      <c r="G25" s="226">
        <f t="shared" si="12"/>
        <v>0</v>
      </c>
      <c r="H25" s="226">
        <f t="shared" si="12"/>
        <v>0</v>
      </c>
      <c r="I25" s="226">
        <f>IF($I$9*I41&gt;H9,H9,$I$9*I41)</f>
        <v>0</v>
      </c>
      <c r="J25" s="226">
        <f>IF($I$9*J41&gt;I9,I9,$I$9*J41)</f>
        <v>4501052.45</v>
      </c>
      <c r="K25" s="226">
        <f t="shared" ref="K25:AG25" si="13">IF($I$9*K41&gt;J9,J9,$I$9*K41)</f>
        <v>4501052.45</v>
      </c>
      <c r="L25" s="226">
        <f t="shared" si="13"/>
        <v>4501052.45</v>
      </c>
      <c r="M25" s="226">
        <f t="shared" si="13"/>
        <v>4501052.45</v>
      </c>
      <c r="N25" s="226">
        <f t="shared" si="13"/>
        <v>4501052.45</v>
      </c>
      <c r="O25" s="226">
        <f t="shared" si="13"/>
        <v>4501052.45</v>
      </c>
      <c r="P25" s="226">
        <f t="shared" si="13"/>
        <v>4501052.45</v>
      </c>
      <c r="Q25" s="226">
        <f t="shared" si="13"/>
        <v>4501052.45</v>
      </c>
      <c r="R25" s="226">
        <f t="shared" si="13"/>
        <v>4501052.45</v>
      </c>
      <c r="S25" s="226">
        <f t="shared" si="13"/>
        <v>4501052.45</v>
      </c>
      <c r="T25" s="226">
        <f t="shared" si="13"/>
        <v>4501052.45</v>
      </c>
      <c r="U25" s="226">
        <f t="shared" si="13"/>
        <v>4501052.45</v>
      </c>
      <c r="V25" s="226">
        <f t="shared" si="13"/>
        <v>4501052.45</v>
      </c>
      <c r="W25" s="226">
        <f t="shared" si="13"/>
        <v>4501052.45</v>
      </c>
      <c r="X25" s="226">
        <f t="shared" si="13"/>
        <v>4501052.45</v>
      </c>
      <c r="Y25" s="226">
        <f t="shared" si="13"/>
        <v>4501052.45</v>
      </c>
      <c r="Z25" s="226">
        <f t="shared" si="13"/>
        <v>4501052.45</v>
      </c>
      <c r="AA25" s="226">
        <f t="shared" si="13"/>
        <v>4501052.45</v>
      </c>
      <c r="AB25" s="226">
        <f t="shared" si="13"/>
        <v>4501052.45</v>
      </c>
      <c r="AC25" s="226">
        <f t="shared" si="13"/>
        <v>4501052.45</v>
      </c>
      <c r="AD25" s="226">
        <f t="shared" si="13"/>
        <v>4501052.45</v>
      </c>
      <c r="AE25" s="226">
        <f t="shared" si="13"/>
        <v>4501052.45</v>
      </c>
      <c r="AF25" s="226">
        <f t="shared" si="13"/>
        <v>4501052.45</v>
      </c>
      <c r="AG25" s="226">
        <f t="shared" si="13"/>
        <v>4501052.45</v>
      </c>
    </row>
    <row r="26" spans="1:33" s="228" customFormat="1" ht="11.25" customHeight="1" x14ac:dyDescent="0.2">
      <c r="A26" s="225" t="s">
        <v>303</v>
      </c>
      <c r="B26" s="226">
        <v>0</v>
      </c>
      <c r="C26" s="226">
        <f t="shared" ref="C26:G26" si="14">IF($G$10*C42&gt;B10,B10,$G$10*C42)</f>
        <v>0</v>
      </c>
      <c r="D26" s="226">
        <f t="shared" si="14"/>
        <v>0</v>
      </c>
      <c r="E26" s="226">
        <f t="shared" si="14"/>
        <v>0</v>
      </c>
      <c r="F26" s="226">
        <f t="shared" si="14"/>
        <v>0</v>
      </c>
      <c r="G26" s="226">
        <f t="shared" si="14"/>
        <v>0</v>
      </c>
      <c r="H26" s="226">
        <f>IF($G$10*H42&gt;G10,G10,$G$10*H42)</f>
        <v>2910000</v>
      </c>
      <c r="I26" s="226">
        <f t="shared" ref="I26:AG26" si="15">IF($G$10*I42&gt;H10,H10,$G$10*I42)</f>
        <v>2910000</v>
      </c>
      <c r="J26" s="226">
        <f t="shared" si="15"/>
        <v>2910000</v>
      </c>
      <c r="K26" s="226">
        <f t="shared" si="15"/>
        <v>2910000</v>
      </c>
      <c r="L26" s="226">
        <f t="shared" si="15"/>
        <v>2910000</v>
      </c>
      <c r="M26" s="226">
        <f t="shared" si="15"/>
        <v>2910000</v>
      </c>
      <c r="N26" s="226">
        <f t="shared" si="15"/>
        <v>2910000</v>
      </c>
      <c r="O26" s="226">
        <f t="shared" si="15"/>
        <v>2910000</v>
      </c>
      <c r="P26" s="226">
        <f t="shared" si="15"/>
        <v>2910000</v>
      </c>
      <c r="Q26" s="226">
        <f t="shared" si="15"/>
        <v>2910000</v>
      </c>
      <c r="R26" s="226">
        <f t="shared" si="15"/>
        <v>2910000</v>
      </c>
      <c r="S26" s="226">
        <f t="shared" si="15"/>
        <v>2910000</v>
      </c>
      <c r="T26" s="226">
        <f t="shared" si="15"/>
        <v>2910000</v>
      </c>
      <c r="U26" s="226">
        <f t="shared" si="15"/>
        <v>2910000</v>
      </c>
      <c r="V26" s="226">
        <f t="shared" si="15"/>
        <v>2910000</v>
      </c>
      <c r="W26" s="226">
        <f t="shared" si="15"/>
        <v>2910000</v>
      </c>
      <c r="X26" s="226">
        <f t="shared" si="15"/>
        <v>1940000</v>
      </c>
      <c r="Y26" s="226">
        <f t="shared" si="15"/>
        <v>0</v>
      </c>
      <c r="Z26" s="226">
        <f t="shared" si="15"/>
        <v>0</v>
      </c>
      <c r="AA26" s="226">
        <f t="shared" si="15"/>
        <v>0</v>
      </c>
      <c r="AB26" s="226">
        <f t="shared" si="15"/>
        <v>0</v>
      </c>
      <c r="AC26" s="226">
        <f t="shared" si="15"/>
        <v>0</v>
      </c>
      <c r="AD26" s="226">
        <f t="shared" si="15"/>
        <v>0</v>
      </c>
      <c r="AE26" s="226">
        <f t="shared" si="15"/>
        <v>0</v>
      </c>
      <c r="AF26" s="226">
        <f t="shared" si="15"/>
        <v>0</v>
      </c>
      <c r="AG26" s="226">
        <f t="shared" si="15"/>
        <v>0</v>
      </c>
    </row>
    <row r="27" spans="1:33" s="228" customFormat="1" ht="11.25" customHeight="1" x14ac:dyDescent="0.2">
      <c r="A27" s="225" t="s">
        <v>305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9"/>
      <c r="AC27" s="226"/>
      <c r="AD27" s="226"/>
      <c r="AE27" s="226"/>
      <c r="AF27" s="226"/>
      <c r="AG27" s="226"/>
    </row>
    <row r="28" spans="1:33" s="195" customFormat="1" ht="27" x14ac:dyDescent="0.2">
      <c r="A28" s="209" t="s">
        <v>322</v>
      </c>
      <c r="B28" s="224">
        <f t="shared" ref="B28:AG28" si="16">SUM(B29:B31)</f>
        <v>0</v>
      </c>
      <c r="C28" s="224">
        <f t="shared" si="16"/>
        <v>0</v>
      </c>
      <c r="D28" s="224">
        <f t="shared" si="16"/>
        <v>0</v>
      </c>
      <c r="E28" s="224">
        <f t="shared" si="16"/>
        <v>0</v>
      </c>
      <c r="F28" s="224">
        <f t="shared" si="16"/>
        <v>0</v>
      </c>
      <c r="G28" s="224">
        <f t="shared" si="16"/>
        <v>0</v>
      </c>
      <c r="H28" s="224">
        <f t="shared" si="16"/>
        <v>0</v>
      </c>
      <c r="I28" s="224">
        <f t="shared" si="16"/>
        <v>0</v>
      </c>
      <c r="J28" s="224">
        <f t="shared" si="16"/>
        <v>0</v>
      </c>
      <c r="K28" s="224">
        <f t="shared" si="16"/>
        <v>0</v>
      </c>
      <c r="L28" s="224">
        <f t="shared" si="16"/>
        <v>0</v>
      </c>
      <c r="M28" s="224">
        <f t="shared" si="16"/>
        <v>0</v>
      </c>
      <c r="N28" s="224">
        <f t="shared" si="16"/>
        <v>0</v>
      </c>
      <c r="O28" s="224">
        <f t="shared" si="16"/>
        <v>0</v>
      </c>
      <c r="P28" s="224">
        <f t="shared" si="16"/>
        <v>0</v>
      </c>
      <c r="Q28" s="224">
        <f t="shared" si="16"/>
        <v>0</v>
      </c>
      <c r="R28" s="224">
        <f t="shared" si="16"/>
        <v>0</v>
      </c>
      <c r="S28" s="224">
        <f t="shared" si="16"/>
        <v>0</v>
      </c>
      <c r="T28" s="224">
        <f t="shared" si="16"/>
        <v>247037.89375000002</v>
      </c>
      <c r="U28" s="224">
        <f t="shared" si="16"/>
        <v>247037.89375000002</v>
      </c>
      <c r="V28" s="224">
        <f t="shared" si="16"/>
        <v>247037.89375000002</v>
      </c>
      <c r="W28" s="224">
        <f t="shared" si="16"/>
        <v>247037.89375000002</v>
      </c>
      <c r="X28" s="224">
        <f t="shared" si="16"/>
        <v>247037.89375000002</v>
      </c>
      <c r="Y28" s="224">
        <f t="shared" si="16"/>
        <v>494075.78750000003</v>
      </c>
      <c r="Z28" s="224">
        <f t="shared" si="16"/>
        <v>494075.78750000003</v>
      </c>
      <c r="AA28" s="224">
        <f t="shared" si="16"/>
        <v>494075.78750000003</v>
      </c>
      <c r="AB28" s="224">
        <f t="shared" si="16"/>
        <v>494075.78750000003</v>
      </c>
      <c r="AC28" s="224">
        <f t="shared" si="16"/>
        <v>494075.78750000003</v>
      </c>
      <c r="AD28" s="224">
        <f t="shared" si="16"/>
        <v>741113.68125000002</v>
      </c>
      <c r="AE28" s="224">
        <f t="shared" si="16"/>
        <v>741113.68125000002</v>
      </c>
      <c r="AF28" s="224">
        <f t="shared" si="16"/>
        <v>741113.68125000002</v>
      </c>
      <c r="AG28" s="224">
        <f t="shared" si="16"/>
        <v>741113.68125000002</v>
      </c>
    </row>
    <row r="29" spans="1:33" s="228" customFormat="1" ht="13.5" x14ac:dyDescent="0.2">
      <c r="A29" s="225" t="s">
        <v>304</v>
      </c>
      <c r="B29" s="226"/>
      <c r="C29" s="226">
        <f>C37*'Założenia-dane wejściowe '!C291</f>
        <v>0</v>
      </c>
      <c r="D29" s="226">
        <f>D37*'Założenia-dane wejściowe '!D291</f>
        <v>0</v>
      </c>
      <c r="E29" s="226">
        <f>E37*'Założenia-dane wejściowe '!E291</f>
        <v>0</v>
      </c>
      <c r="F29" s="226">
        <f>F37*'Założenia-dane wejściowe '!F291</f>
        <v>0</v>
      </c>
      <c r="G29" s="226">
        <f>G37*'Założenia-dane wejściowe '!G291</f>
        <v>0</v>
      </c>
      <c r="H29" s="226">
        <f>H37*'Założenia-dane wejściowe '!H291</f>
        <v>0</v>
      </c>
      <c r="I29" s="226">
        <f>I37*'Założenia-dane wejściowe '!I291</f>
        <v>0</v>
      </c>
      <c r="J29" s="226">
        <f>J37*'Założenia-dane wejściowe '!J291</f>
        <v>0</v>
      </c>
      <c r="K29" s="226">
        <f>K37*'Założenia-dane wejściowe '!K291</f>
        <v>0</v>
      </c>
      <c r="L29" s="226">
        <f>L37*'Założenia-dane wejściowe '!L291</f>
        <v>0</v>
      </c>
      <c r="M29" s="226">
        <f>M37*'Założenia-dane wejściowe '!M291</f>
        <v>0</v>
      </c>
      <c r="N29" s="226">
        <f>N37*'Założenia-dane wejściowe '!N291</f>
        <v>0</v>
      </c>
      <c r="O29" s="226">
        <f>O37*'Założenia-dane wejściowe '!O291</f>
        <v>0</v>
      </c>
      <c r="P29" s="226">
        <f>P37*'Założenia-dane wejściowe '!P291</f>
        <v>0</v>
      </c>
      <c r="Q29" s="226">
        <f>Q37*'Założenia-dane wejściowe '!Q291</f>
        <v>0</v>
      </c>
      <c r="R29" s="226">
        <f>R37*'Założenia-dane wejściowe '!R291</f>
        <v>0</v>
      </c>
      <c r="S29" s="226">
        <f>S37*'Założenia-dane wejściowe '!S291</f>
        <v>0</v>
      </c>
      <c r="T29" s="226">
        <f>T37*'Założenia-dane wejściowe '!$T$291</f>
        <v>247037.89375000002</v>
      </c>
      <c r="U29" s="226">
        <f>U37*'Założenia-dane wejściowe '!$T$291</f>
        <v>247037.89375000002</v>
      </c>
      <c r="V29" s="226">
        <f>V37*'Założenia-dane wejściowe '!$T$291</f>
        <v>247037.89375000002</v>
      </c>
      <c r="W29" s="226">
        <f>W37*'Założenia-dane wejściowe '!$T$291</f>
        <v>247037.89375000002</v>
      </c>
      <c r="X29" s="226">
        <f>X37*'Założenia-dane wejściowe '!$T$291</f>
        <v>247037.89375000002</v>
      </c>
      <c r="Y29" s="226">
        <f>Y37*'Założenia-dane wejściowe '!$T$291+Y37*'Założenia-dane wejściowe '!$Y$291</f>
        <v>494075.78750000003</v>
      </c>
      <c r="Z29" s="226">
        <f>Z37*'Założenia-dane wejściowe '!$T$291+Z37*'Założenia-dane wejściowe '!$Y$291</f>
        <v>494075.78750000003</v>
      </c>
      <c r="AA29" s="226">
        <f>AA37*'Założenia-dane wejściowe '!$T$291+AA37*'Założenia-dane wejściowe '!$Y$291</f>
        <v>494075.78750000003</v>
      </c>
      <c r="AB29" s="226">
        <f>AB37*'Założenia-dane wejściowe '!$T$291+AB37*'Założenia-dane wejściowe '!$Y$291</f>
        <v>494075.78750000003</v>
      </c>
      <c r="AC29" s="226">
        <f>AC37*'Założenia-dane wejściowe '!$T$291+AC37*'Założenia-dane wejściowe '!$Y$291</f>
        <v>494075.78750000003</v>
      </c>
      <c r="AD29" s="226">
        <f>AD37*'Założenia-dane wejściowe '!$T$291+AD37*'Założenia-dane wejściowe '!$Y$291+AD37*'Założenia-dane wejściowe '!$AD$291</f>
        <v>741113.68125000002</v>
      </c>
      <c r="AE29" s="226">
        <f>AE37*'Założenia-dane wejściowe '!$T$291+AE37*'Założenia-dane wejściowe '!$Y$291+AE37*'Założenia-dane wejściowe '!$AD$291</f>
        <v>741113.68125000002</v>
      </c>
      <c r="AF29" s="226">
        <f>AF37*'Założenia-dane wejściowe '!$T$291+AF37*'Założenia-dane wejściowe '!$Y$291+AF37*'Założenia-dane wejściowe '!$AD$291</f>
        <v>741113.68125000002</v>
      </c>
      <c r="AG29" s="226">
        <f>AG37*'Założenia-dane wejściowe '!$T$291+AG37*'Założenia-dane wejściowe '!$Y$291+AG37*'Założenia-dane wejściowe '!$AD$291</f>
        <v>741113.68125000002</v>
      </c>
    </row>
    <row r="30" spans="1:33" s="228" customFormat="1" ht="13.5" x14ac:dyDescent="0.2">
      <c r="A30" s="225" t="s">
        <v>303</v>
      </c>
      <c r="B30" s="226"/>
      <c r="C30" s="226">
        <f>C38*'Założenia-dane wejściowe '!C292</f>
        <v>0</v>
      </c>
      <c r="D30" s="226">
        <f>D38*'Założenia-dane wejściowe '!D292</f>
        <v>0</v>
      </c>
      <c r="E30" s="226">
        <f>E38*'Założenia-dane wejściowe '!E292</f>
        <v>0</v>
      </c>
      <c r="F30" s="226">
        <f>F38*'Założenia-dane wejściowe '!F292</f>
        <v>0</v>
      </c>
      <c r="G30" s="226">
        <f>G38*'Założenia-dane wejściowe '!G292</f>
        <v>0</v>
      </c>
      <c r="H30" s="226">
        <f>H38*'Założenia-dane wejściowe '!H292</f>
        <v>0</v>
      </c>
      <c r="I30" s="226">
        <f>I38*'Założenia-dane wejściowe '!I292</f>
        <v>0</v>
      </c>
      <c r="J30" s="226">
        <f>J38*'Założenia-dane wejściowe '!J292</f>
        <v>0</v>
      </c>
      <c r="K30" s="226">
        <f>K38*'Założenia-dane wejściowe '!K292</f>
        <v>0</v>
      </c>
      <c r="L30" s="226">
        <f>L38*'Założenia-dane wejściowe '!L292</f>
        <v>0</v>
      </c>
      <c r="M30" s="226">
        <f>M38*'Założenia-dane wejściowe '!M292</f>
        <v>0</v>
      </c>
      <c r="N30" s="226">
        <f>N38*'Założenia-dane wejściowe '!N292</f>
        <v>0</v>
      </c>
      <c r="O30" s="226">
        <f>O38*'Założenia-dane wejściowe '!O292</f>
        <v>0</v>
      </c>
      <c r="P30" s="226">
        <f>P38*'Założenia-dane wejściowe '!P292</f>
        <v>0</v>
      </c>
      <c r="Q30" s="226">
        <f>Q38*'Założenia-dane wejściowe '!Q292</f>
        <v>0</v>
      </c>
      <c r="R30" s="226">
        <f>R38*'Założenia-dane wejściowe '!R292</f>
        <v>0</v>
      </c>
      <c r="S30" s="226">
        <f>S38*'Założenia-dane wejściowe '!S292</f>
        <v>0</v>
      </c>
      <c r="T30" s="226">
        <f>T38*'Założenia-dane wejściowe '!T292</f>
        <v>0</v>
      </c>
      <c r="U30" s="226">
        <f>U38*'Założenia-dane wejściowe '!U292</f>
        <v>0</v>
      </c>
      <c r="V30" s="226">
        <f>V38*'Założenia-dane wejściowe '!V292</f>
        <v>0</v>
      </c>
      <c r="W30" s="226">
        <f>W38*'Założenia-dane wejściowe '!W292</f>
        <v>0</v>
      </c>
      <c r="X30" s="226">
        <f>X38*'Założenia-dane wejściowe '!X292</f>
        <v>0</v>
      </c>
      <c r="Y30" s="226">
        <f>Y38*'Założenia-dane wejściowe '!Y292</f>
        <v>0</v>
      </c>
      <c r="Z30" s="226">
        <f>Z38*'Założenia-dane wejściowe '!Z292</f>
        <v>0</v>
      </c>
      <c r="AA30" s="226">
        <f>AA38*'Założenia-dane wejściowe '!AA292</f>
        <v>0</v>
      </c>
      <c r="AB30" s="226">
        <f>AB38*'Założenia-dane wejściowe '!AB292</f>
        <v>0</v>
      </c>
      <c r="AC30" s="226">
        <f>AC38*'Założenia-dane wejściowe '!AC292</f>
        <v>0</v>
      </c>
      <c r="AD30" s="226">
        <f>AD38*'Założenia-dane wejściowe '!AD292</f>
        <v>0</v>
      </c>
      <c r="AE30" s="226">
        <f>AE38*'Założenia-dane wejściowe '!AE292</f>
        <v>0</v>
      </c>
      <c r="AF30" s="226">
        <f>AF38*'Założenia-dane wejściowe '!AF292</f>
        <v>0</v>
      </c>
      <c r="AG30" s="226">
        <f>AG38*'Założenia-dane wejściowe '!AG292</f>
        <v>0</v>
      </c>
    </row>
    <row r="31" spans="1:33" s="228" customFormat="1" ht="13.5" x14ac:dyDescent="0.2">
      <c r="A31" s="225" t="s">
        <v>305</v>
      </c>
      <c r="B31" s="226"/>
      <c r="C31" s="226">
        <f>C39*'Założenia-dane wejściowe '!C293</f>
        <v>0</v>
      </c>
      <c r="D31" s="226">
        <f>D39*'Założenia-dane wejściowe '!D293</f>
        <v>0</v>
      </c>
      <c r="E31" s="226">
        <f>E39*'Założenia-dane wejściowe '!E293</f>
        <v>0</v>
      </c>
      <c r="F31" s="226">
        <f>F39*'Założenia-dane wejściowe '!F293</f>
        <v>0</v>
      </c>
      <c r="G31" s="226">
        <f>G39*'Założenia-dane wejściowe '!G293</f>
        <v>0</v>
      </c>
      <c r="H31" s="226">
        <f>H39*'Założenia-dane wejściowe '!H293</f>
        <v>0</v>
      </c>
      <c r="I31" s="226">
        <f>I39*'Założenia-dane wejściowe '!I293</f>
        <v>0</v>
      </c>
      <c r="J31" s="226">
        <f>J39*'Założenia-dane wejściowe '!J293</f>
        <v>0</v>
      </c>
      <c r="K31" s="226">
        <f>K39*'Założenia-dane wejściowe '!K293</f>
        <v>0</v>
      </c>
      <c r="L31" s="226">
        <f>L39*'Założenia-dane wejściowe '!L293</f>
        <v>0</v>
      </c>
      <c r="M31" s="226">
        <f>M39*'Założenia-dane wejściowe '!M293</f>
        <v>0</v>
      </c>
      <c r="N31" s="226">
        <f>N39*'Założenia-dane wejściowe '!N293</f>
        <v>0</v>
      </c>
      <c r="O31" s="226">
        <f>O39*'Założenia-dane wejściowe '!O293</f>
        <v>0</v>
      </c>
      <c r="P31" s="226">
        <f>P39*'Założenia-dane wejściowe '!P293</f>
        <v>0</v>
      </c>
      <c r="Q31" s="226">
        <f>Q39*'Założenia-dane wejściowe '!Q293</f>
        <v>0</v>
      </c>
      <c r="R31" s="226">
        <f>R39*'Założenia-dane wejściowe '!R293</f>
        <v>0</v>
      </c>
      <c r="S31" s="226">
        <f>S39*'Założenia-dane wejściowe '!S293</f>
        <v>0</v>
      </c>
      <c r="T31" s="226">
        <f>T39*'Założenia-dane wejściowe '!T293</f>
        <v>0</v>
      </c>
      <c r="U31" s="226">
        <f>U39*'Założenia-dane wejściowe '!U293</f>
        <v>0</v>
      </c>
      <c r="V31" s="226">
        <f>V39*'Założenia-dane wejściowe '!V293</f>
        <v>0</v>
      </c>
      <c r="W31" s="226">
        <f>W39*'Założenia-dane wejściowe '!W293</f>
        <v>0</v>
      </c>
      <c r="X31" s="226">
        <f>X39*'Założenia-dane wejściowe '!X293</f>
        <v>0</v>
      </c>
      <c r="Y31" s="226">
        <f>Y39*'Założenia-dane wejściowe '!Y293</f>
        <v>0</v>
      </c>
      <c r="Z31" s="226">
        <f>Z39*'Założenia-dane wejściowe '!Z293</f>
        <v>0</v>
      </c>
      <c r="AA31" s="226">
        <f>AA39*'Założenia-dane wejściowe '!AA293</f>
        <v>0</v>
      </c>
      <c r="AB31" s="226">
        <f>AB39*'Założenia-dane wejściowe '!AB293</f>
        <v>0</v>
      </c>
      <c r="AC31" s="226">
        <f>AC39*'Założenia-dane wejściowe '!AC293</f>
        <v>0</v>
      </c>
      <c r="AD31" s="226">
        <f>AD39*'Założenia-dane wejściowe '!AD293</f>
        <v>0</v>
      </c>
      <c r="AE31" s="226">
        <f>AE39*'Założenia-dane wejściowe '!AE293</f>
        <v>0</v>
      </c>
      <c r="AF31" s="226">
        <f>AF39*'Założenia-dane wejściowe '!AF293</f>
        <v>0</v>
      </c>
      <c r="AG31" s="226">
        <f>AG39*'Założenia-dane wejściowe '!AG293</f>
        <v>0</v>
      </c>
    </row>
    <row r="32" spans="1:33" s="195" customFormat="1" ht="27" x14ac:dyDescent="0.2">
      <c r="A32" s="209" t="s">
        <v>323</v>
      </c>
      <c r="B32" s="224">
        <f t="shared" ref="B32:AG32" si="17">SUM(B33:B35)</f>
        <v>0</v>
      </c>
      <c r="C32" s="224">
        <f t="shared" si="17"/>
        <v>0</v>
      </c>
      <c r="D32" s="224">
        <f t="shared" si="17"/>
        <v>0</v>
      </c>
      <c r="E32" s="224">
        <f t="shared" si="17"/>
        <v>0</v>
      </c>
      <c r="F32" s="224">
        <f t="shared" si="17"/>
        <v>0</v>
      </c>
      <c r="G32" s="224">
        <f t="shared" si="17"/>
        <v>0</v>
      </c>
      <c r="H32" s="224">
        <f t="shared" si="17"/>
        <v>0</v>
      </c>
      <c r="I32" s="224">
        <f t="shared" si="17"/>
        <v>0</v>
      </c>
      <c r="J32" s="224">
        <f t="shared" si="17"/>
        <v>0</v>
      </c>
      <c r="K32" s="224">
        <f t="shared" si="17"/>
        <v>0</v>
      </c>
      <c r="L32" s="224">
        <f t="shared" si="17"/>
        <v>0</v>
      </c>
      <c r="M32" s="224">
        <f t="shared" si="17"/>
        <v>0</v>
      </c>
      <c r="N32" s="224">
        <f t="shared" si="17"/>
        <v>0</v>
      </c>
      <c r="O32" s="224">
        <f t="shared" si="17"/>
        <v>0</v>
      </c>
      <c r="P32" s="224">
        <f t="shared" si="17"/>
        <v>0</v>
      </c>
      <c r="Q32" s="224">
        <f t="shared" si="17"/>
        <v>0</v>
      </c>
      <c r="R32" s="224">
        <f t="shared" si="17"/>
        <v>0</v>
      </c>
      <c r="S32" s="224">
        <f t="shared" si="17"/>
        <v>0</v>
      </c>
      <c r="T32" s="224">
        <f t="shared" si="17"/>
        <v>274323.8725</v>
      </c>
      <c r="U32" s="224">
        <f t="shared" si="17"/>
        <v>274323.8725</v>
      </c>
      <c r="V32" s="224">
        <f t="shared" si="17"/>
        <v>274323.8725</v>
      </c>
      <c r="W32" s="224">
        <f t="shared" si="17"/>
        <v>274323.8725</v>
      </c>
      <c r="X32" s="224">
        <f t="shared" si="17"/>
        <v>274323.8725</v>
      </c>
      <c r="Y32" s="224">
        <f t="shared" si="17"/>
        <v>548647.745</v>
      </c>
      <c r="Z32" s="224">
        <f t="shared" si="17"/>
        <v>3068647.7450000001</v>
      </c>
      <c r="AA32" s="224">
        <f t="shared" si="17"/>
        <v>3068647.7450000001</v>
      </c>
      <c r="AB32" s="224">
        <f t="shared" si="17"/>
        <v>3068647.7450000001</v>
      </c>
      <c r="AC32" s="224">
        <f t="shared" si="17"/>
        <v>3068647.7450000001</v>
      </c>
      <c r="AD32" s="224">
        <f t="shared" si="17"/>
        <v>3342971.6174999997</v>
      </c>
      <c r="AE32" s="224">
        <f t="shared" si="17"/>
        <v>3342971.6174999997</v>
      </c>
      <c r="AF32" s="224">
        <f t="shared" si="17"/>
        <v>3342971.6174999997</v>
      </c>
      <c r="AG32" s="224">
        <f t="shared" si="17"/>
        <v>3342971.6174999997</v>
      </c>
    </row>
    <row r="33" spans="1:34" s="228" customFormat="1" ht="13.5" x14ac:dyDescent="0.2">
      <c r="A33" s="225" t="s">
        <v>304</v>
      </c>
      <c r="B33" s="226"/>
      <c r="C33" s="226">
        <f>C41*'Założenia-dane wejściowe '!C295</f>
        <v>0</v>
      </c>
      <c r="D33" s="226">
        <f>D41*'Założenia-dane wejściowe '!D295</f>
        <v>0</v>
      </c>
      <c r="E33" s="226">
        <f>E41*'Założenia-dane wejściowe '!E295</f>
        <v>0</v>
      </c>
      <c r="F33" s="226">
        <f>F41*'Założenia-dane wejściowe '!F295</f>
        <v>0</v>
      </c>
      <c r="G33" s="226">
        <f>G41*'Założenia-dane wejściowe '!G295</f>
        <v>0</v>
      </c>
      <c r="H33" s="226">
        <f>H41*'Założenia-dane wejściowe '!H295</f>
        <v>0</v>
      </c>
      <c r="I33" s="226">
        <f>I41*'Założenia-dane wejściowe '!I295</f>
        <v>0</v>
      </c>
      <c r="J33" s="226">
        <f>J41*'Założenia-dane wejściowe '!J295</f>
        <v>0</v>
      </c>
      <c r="K33" s="226">
        <f>K41*'Założenia-dane wejściowe '!K295</f>
        <v>0</v>
      </c>
      <c r="L33" s="226">
        <f>L41*'Założenia-dane wejściowe '!L295</f>
        <v>0</v>
      </c>
      <c r="M33" s="226">
        <f>M41*'Założenia-dane wejściowe '!M295</f>
        <v>0</v>
      </c>
      <c r="N33" s="226">
        <f>N41*'Założenia-dane wejściowe '!N295</f>
        <v>0</v>
      </c>
      <c r="O33" s="226">
        <f>O41*'Założenia-dane wejściowe '!O295</f>
        <v>0</v>
      </c>
      <c r="P33" s="226">
        <f>P41*'Założenia-dane wejściowe '!P295</f>
        <v>0</v>
      </c>
      <c r="Q33" s="226">
        <f>Q41*'Założenia-dane wejściowe '!Q295</f>
        <v>0</v>
      </c>
      <c r="R33" s="226">
        <f>R41*'Założenia-dane wejściowe '!R295</f>
        <v>0</v>
      </c>
      <c r="S33" s="226">
        <f>S41*'Założenia-dane wejściowe '!S295</f>
        <v>0</v>
      </c>
      <c r="T33" s="226">
        <f>T41*'Założenia-dane wejściowe '!$T$295</f>
        <v>274323.8725</v>
      </c>
      <c r="U33" s="226">
        <f>U41*'Założenia-dane wejściowe '!$T$295</f>
        <v>274323.8725</v>
      </c>
      <c r="V33" s="226">
        <f>V41*'Założenia-dane wejściowe '!$T$295</f>
        <v>274323.8725</v>
      </c>
      <c r="W33" s="226">
        <f>W41*'Założenia-dane wejściowe '!$T$295</f>
        <v>274323.8725</v>
      </c>
      <c r="X33" s="226">
        <f>X41*'Założenia-dane wejściowe '!$T$295</f>
        <v>274323.8725</v>
      </c>
      <c r="Y33" s="226">
        <f>Y41*'Założenia-dane wejściowe '!$T$295+Y41*'Założenia-dane wejściowe '!$Y$295</f>
        <v>548647.745</v>
      </c>
      <c r="Z33" s="226">
        <f>Z41*'Założenia-dane wejściowe '!$T$295+Z41*'Założenia-dane wejściowe '!$Y$295</f>
        <v>548647.745</v>
      </c>
      <c r="AA33" s="226">
        <f>AA41*'Założenia-dane wejściowe '!$T$295+AA41*'Założenia-dane wejściowe '!$Y$295</f>
        <v>548647.745</v>
      </c>
      <c r="AB33" s="226">
        <f>AB41*'Założenia-dane wejściowe '!$T$295+AB41*'Założenia-dane wejściowe '!$Y$295</f>
        <v>548647.745</v>
      </c>
      <c r="AC33" s="226">
        <f>AC41*'Założenia-dane wejściowe '!$T$295+AC41*'Założenia-dane wejściowe '!$Y$295</f>
        <v>548647.745</v>
      </c>
      <c r="AD33" s="226">
        <f>AD41*'Założenia-dane wejściowe '!$T$295+AD41*'Założenia-dane wejściowe '!$Y$295+AD41*'Założenia-dane wejściowe '!$AD$295</f>
        <v>822971.61749999993</v>
      </c>
      <c r="AE33" s="226">
        <f>AE41*'Założenia-dane wejściowe '!$T$295+AE41*'Założenia-dane wejściowe '!$Y$295+AE41*'Założenia-dane wejściowe '!$AD$295</f>
        <v>822971.61749999993</v>
      </c>
      <c r="AF33" s="226">
        <f>AF41*'Założenia-dane wejściowe '!$T$295+AF41*'Założenia-dane wejściowe '!$Y$295+AF41*'Założenia-dane wejściowe '!$AD$295</f>
        <v>822971.61749999993</v>
      </c>
      <c r="AG33" s="226">
        <f>AG41*'Założenia-dane wejściowe '!$T$295+AG41*'Założenia-dane wejściowe '!$Y$295+AG41*'Założenia-dane wejściowe '!$AD$295</f>
        <v>822971.61749999993</v>
      </c>
    </row>
    <row r="34" spans="1:34" s="228" customFormat="1" ht="13.5" x14ac:dyDescent="0.2">
      <c r="A34" s="225" t="s">
        <v>303</v>
      </c>
      <c r="B34" s="226"/>
      <c r="C34" s="226">
        <f>IF(C42*'Założenia-dane wejściowe '!$Z$296&gt;B18,B18,C42*'Założenia-dane wejściowe '!$Z$296)</f>
        <v>0</v>
      </c>
      <c r="D34" s="226">
        <f>IF(D42*'Założenia-dane wejściowe '!$Z$296&gt;C18,C18,D42*'Założenia-dane wejściowe '!$Z$296)</f>
        <v>0</v>
      </c>
      <c r="E34" s="226">
        <f>IF(E42*'Założenia-dane wejściowe '!$Z$296&gt;D18,D18,E42*'Założenia-dane wejściowe '!$Z$296)</f>
        <v>0</v>
      </c>
      <c r="F34" s="226">
        <f>IF(F42*'Założenia-dane wejściowe '!$Z$296&gt;E18,E18,F42*'Założenia-dane wejściowe '!$Z$296)</f>
        <v>0</v>
      </c>
      <c r="G34" s="226">
        <f>IF(G42*'Założenia-dane wejściowe '!$Z$296&gt;F18,F18,G42*'Założenia-dane wejściowe '!$Z$296)</f>
        <v>0</v>
      </c>
      <c r="H34" s="226">
        <f>IF(H42*'Założenia-dane wejściowe '!$Z$296&gt;G18,G18,H42*'Założenia-dane wejściowe '!$Z$296)</f>
        <v>0</v>
      </c>
      <c r="I34" s="226">
        <f>IF(I42*'Założenia-dane wejściowe '!$Z$296&gt;H18,H18,I42*'Założenia-dane wejściowe '!$Z$296)</f>
        <v>0</v>
      </c>
      <c r="J34" s="226">
        <f>IF(J42*'Założenia-dane wejściowe '!$Z$296&gt;I18,I18,J42*'Założenia-dane wejściowe '!$Z$296)</f>
        <v>0</v>
      </c>
      <c r="K34" s="226">
        <f>IF(K42*'Założenia-dane wejściowe '!$Z$296&gt;J18,J18,K42*'Założenia-dane wejściowe '!$Z$296)</f>
        <v>0</v>
      </c>
      <c r="L34" s="226">
        <f>IF(L42*'Założenia-dane wejściowe '!$Z$296&gt;K18,K18,L42*'Założenia-dane wejściowe '!$Z$296)</f>
        <v>0</v>
      </c>
      <c r="M34" s="226">
        <f>IF(M42*'Założenia-dane wejściowe '!$Z$296&gt;L18,L18,M42*'Założenia-dane wejściowe '!$Z$296)</f>
        <v>0</v>
      </c>
      <c r="N34" s="226">
        <f>IF(N42*'Założenia-dane wejściowe '!$Z$296&gt;M18,M18,N42*'Założenia-dane wejściowe '!$Z$296)</f>
        <v>0</v>
      </c>
      <c r="O34" s="226">
        <f>IF(O42*'Założenia-dane wejściowe '!$Z$296&gt;N18,N18,O42*'Założenia-dane wejściowe '!$Z$296)</f>
        <v>0</v>
      </c>
      <c r="P34" s="226">
        <f>IF(P42*'Założenia-dane wejściowe '!$Z$296&gt;O18,O18,P42*'Założenia-dane wejściowe '!$Z$296)</f>
        <v>0</v>
      </c>
      <c r="Q34" s="226">
        <f>IF(Q42*'Założenia-dane wejściowe '!$Z$296&gt;P18,P18,Q42*'Założenia-dane wejściowe '!$Z$296)</f>
        <v>0</v>
      </c>
      <c r="R34" s="226">
        <f>IF(R42*'Założenia-dane wejściowe '!$Z$296&gt;Q18,Q18,R42*'Założenia-dane wejściowe '!$Z$296)</f>
        <v>0</v>
      </c>
      <c r="S34" s="226">
        <f>IF(S42*'Założenia-dane wejściowe '!$Z$296&gt;R18,R18,S42*'Założenia-dane wejściowe '!$Z$296)</f>
        <v>0</v>
      </c>
      <c r="T34" s="226">
        <f>IF(T42*'Założenia-dane wejściowe '!$Z$296&gt;S18,S18,T42*'Założenia-dane wejściowe '!$Z$296)</f>
        <v>0</v>
      </c>
      <c r="U34" s="226">
        <f>IF(U42*'Założenia-dane wejściowe '!$Z$296&gt;T18,T18,U42*'Założenia-dane wejściowe '!$Z$296)</f>
        <v>0</v>
      </c>
      <c r="V34" s="226">
        <f>IF(V42*'Założenia-dane wejściowe '!$Z$296&gt;U18,U18,V42*'Założenia-dane wejściowe '!$Z$296)</f>
        <v>0</v>
      </c>
      <c r="W34" s="226">
        <f>IF(W42*'Założenia-dane wejściowe '!$Z$296&gt;V18,V18,W42*'Założenia-dane wejściowe '!$Z$296)</f>
        <v>0</v>
      </c>
      <c r="X34" s="226">
        <f>IF(X42*'Założenia-dane wejściowe '!$Z$296&gt;W18,W18,X42*'Założenia-dane wejściowe '!$Z$296)</f>
        <v>0</v>
      </c>
      <c r="Y34" s="226">
        <f>IF(Y42*'Założenia-dane wejściowe '!$Z$296&gt;X18,X18,Y42*'Założenia-dane wejściowe '!$Z$296)</f>
        <v>0</v>
      </c>
      <c r="Z34" s="226">
        <f>IF(Z42*'Założenia-dane wejściowe '!$Z$296&gt;Y18,Y18,Z42*'Założenia-dane wejściowe '!$Z$296)</f>
        <v>2520000</v>
      </c>
      <c r="AA34" s="226">
        <f>IF(AA42*'Założenia-dane wejściowe '!$Z$296&gt;Z18,Z18,AA42*'Założenia-dane wejściowe '!$Z$296)</f>
        <v>2520000</v>
      </c>
      <c r="AB34" s="226">
        <f>IF(AB42*'Założenia-dane wejściowe '!$Z$296&gt;AA18,AA18,AB42*'Założenia-dane wejściowe '!$Z$296)</f>
        <v>2520000</v>
      </c>
      <c r="AC34" s="226">
        <f>IF(AC42*'Założenia-dane wejściowe '!$Z$296&gt;AB18,AB18,AC42*'Założenia-dane wejściowe '!$Z$296)</f>
        <v>2520000</v>
      </c>
      <c r="AD34" s="226">
        <f>IF(AD42*'Założenia-dane wejściowe '!$Z$296&gt;AC18,AC18,AD42*'Założenia-dane wejściowe '!$Z$296)</f>
        <v>2520000</v>
      </c>
      <c r="AE34" s="226">
        <f>IF(AE42*'Założenia-dane wejściowe '!$Z$296&gt;AD18,AD18,AE42*'Założenia-dane wejściowe '!$Z$296)</f>
        <v>2520000</v>
      </c>
      <c r="AF34" s="226">
        <f>IF(AF42*'Założenia-dane wejściowe '!$Z$296&gt;AE18,AE18,AF42*'Założenia-dane wejściowe '!$Z$296)</f>
        <v>2520000</v>
      </c>
      <c r="AG34" s="226">
        <f>IF(AG42*'Założenia-dane wejściowe '!$Z$296&gt;AF18,AF18,AG42*'Założenia-dane wejściowe '!$Z$296)</f>
        <v>2520000</v>
      </c>
    </row>
    <row r="35" spans="1:34" s="228" customFormat="1" ht="13.5" x14ac:dyDescent="0.2">
      <c r="A35" s="225" t="s">
        <v>305</v>
      </c>
      <c r="B35" s="226"/>
      <c r="C35" s="226">
        <f>C43*'Założenia-dane wejściowe '!C297</f>
        <v>0</v>
      </c>
      <c r="D35" s="226">
        <f>D43*'Założenia-dane wejściowe '!D297</f>
        <v>0</v>
      </c>
      <c r="E35" s="226">
        <f>E43*'Założenia-dane wejściowe '!E297</f>
        <v>0</v>
      </c>
      <c r="F35" s="226">
        <f>F43*'Założenia-dane wejściowe '!F297</f>
        <v>0</v>
      </c>
      <c r="G35" s="226">
        <f>G43*'Założenia-dane wejściowe '!G297</f>
        <v>0</v>
      </c>
      <c r="H35" s="226">
        <f>H43*'Założenia-dane wejściowe '!H297</f>
        <v>0</v>
      </c>
      <c r="I35" s="226">
        <f>I43*'Założenia-dane wejściowe '!I297</f>
        <v>0</v>
      </c>
      <c r="J35" s="226">
        <f>J43*'Założenia-dane wejściowe '!J297</f>
        <v>0</v>
      </c>
      <c r="K35" s="226">
        <f>K43*'Założenia-dane wejściowe '!K297</f>
        <v>0</v>
      </c>
      <c r="L35" s="226">
        <f>L43*'Założenia-dane wejściowe '!L297</f>
        <v>0</v>
      </c>
      <c r="M35" s="226">
        <f>M43*'Założenia-dane wejściowe '!M297</f>
        <v>0</v>
      </c>
      <c r="N35" s="226">
        <f>N43*'Założenia-dane wejściowe '!N297</f>
        <v>0</v>
      </c>
      <c r="O35" s="226">
        <f>O43*'Założenia-dane wejściowe '!O297</f>
        <v>0</v>
      </c>
      <c r="P35" s="226">
        <f>P43*'Założenia-dane wejściowe '!P297</f>
        <v>0</v>
      </c>
      <c r="Q35" s="226">
        <f>Q43*'Założenia-dane wejściowe '!Q297</f>
        <v>0</v>
      </c>
      <c r="R35" s="226">
        <f>R43*'Założenia-dane wejściowe '!R297</f>
        <v>0</v>
      </c>
      <c r="S35" s="226">
        <f>S43*'Założenia-dane wejściowe '!S297</f>
        <v>0</v>
      </c>
      <c r="T35" s="226">
        <f>T43*'Założenia-dane wejściowe '!T297</f>
        <v>0</v>
      </c>
      <c r="U35" s="226">
        <f>U43*'Założenia-dane wejściowe '!U297</f>
        <v>0</v>
      </c>
      <c r="V35" s="226">
        <f>V43*'Założenia-dane wejściowe '!V297</f>
        <v>0</v>
      </c>
      <c r="W35" s="226">
        <f>W43*'Założenia-dane wejściowe '!W297</f>
        <v>0</v>
      </c>
      <c r="X35" s="226">
        <f>X43*'Założenia-dane wejściowe '!X297</f>
        <v>0</v>
      </c>
      <c r="Y35" s="226">
        <f>Y43*'Założenia-dane wejściowe '!Y297</f>
        <v>0</v>
      </c>
      <c r="Z35" s="226">
        <f>Z43*'Założenia-dane wejściowe '!Z297</f>
        <v>0</v>
      </c>
      <c r="AA35" s="226">
        <f>AA43*'Założenia-dane wejściowe '!AA297</f>
        <v>0</v>
      </c>
      <c r="AB35" s="226">
        <f>AB43*'Założenia-dane wejściowe '!AB297</f>
        <v>0</v>
      </c>
      <c r="AC35" s="226">
        <f>AC43*'Założenia-dane wejściowe '!AC297</f>
        <v>0</v>
      </c>
      <c r="AD35" s="226">
        <f>AD43*'Założenia-dane wejściowe '!AD297</f>
        <v>0</v>
      </c>
      <c r="AE35" s="226">
        <f>AE43*'Założenia-dane wejściowe '!AE297</f>
        <v>0</v>
      </c>
      <c r="AF35" s="226">
        <f>AF43*'Założenia-dane wejściowe '!AF297</f>
        <v>0</v>
      </c>
      <c r="AG35" s="226">
        <f>AG43*'Założenia-dane wejściowe '!AG297</f>
        <v>0</v>
      </c>
    </row>
    <row r="36" spans="1:34" s="195" customFormat="1" ht="13.5" x14ac:dyDescent="0.2">
      <c r="A36" s="209" t="s">
        <v>306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</row>
    <row r="37" spans="1:34" s="140" customFormat="1" ht="11.25" customHeight="1" x14ac:dyDescent="0.2">
      <c r="A37" s="116" t="s">
        <v>304</v>
      </c>
      <c r="B37" s="231">
        <v>2.5000000000000001E-2</v>
      </c>
      <c r="C37" s="231">
        <f t="shared" ref="C37:AG37" si="18">B37</f>
        <v>2.5000000000000001E-2</v>
      </c>
      <c r="D37" s="231">
        <f t="shared" si="18"/>
        <v>2.5000000000000001E-2</v>
      </c>
      <c r="E37" s="231">
        <f t="shared" si="18"/>
        <v>2.5000000000000001E-2</v>
      </c>
      <c r="F37" s="231">
        <f t="shared" si="18"/>
        <v>2.5000000000000001E-2</v>
      </c>
      <c r="G37" s="231">
        <f t="shared" si="18"/>
        <v>2.5000000000000001E-2</v>
      </c>
      <c r="H37" s="231">
        <f t="shared" si="18"/>
        <v>2.5000000000000001E-2</v>
      </c>
      <c r="I37" s="231">
        <f t="shared" si="18"/>
        <v>2.5000000000000001E-2</v>
      </c>
      <c r="J37" s="231">
        <f t="shared" si="18"/>
        <v>2.5000000000000001E-2</v>
      </c>
      <c r="K37" s="231">
        <f t="shared" si="18"/>
        <v>2.5000000000000001E-2</v>
      </c>
      <c r="L37" s="231">
        <f t="shared" si="18"/>
        <v>2.5000000000000001E-2</v>
      </c>
      <c r="M37" s="231">
        <f t="shared" si="18"/>
        <v>2.5000000000000001E-2</v>
      </c>
      <c r="N37" s="231">
        <f t="shared" si="18"/>
        <v>2.5000000000000001E-2</v>
      </c>
      <c r="O37" s="231">
        <f t="shared" si="18"/>
        <v>2.5000000000000001E-2</v>
      </c>
      <c r="P37" s="231">
        <f t="shared" si="18"/>
        <v>2.5000000000000001E-2</v>
      </c>
      <c r="Q37" s="231">
        <f t="shared" si="18"/>
        <v>2.5000000000000001E-2</v>
      </c>
      <c r="R37" s="231">
        <f t="shared" si="18"/>
        <v>2.5000000000000001E-2</v>
      </c>
      <c r="S37" s="231">
        <f t="shared" si="18"/>
        <v>2.5000000000000001E-2</v>
      </c>
      <c r="T37" s="231">
        <f t="shared" si="18"/>
        <v>2.5000000000000001E-2</v>
      </c>
      <c r="U37" s="231">
        <f t="shared" si="18"/>
        <v>2.5000000000000001E-2</v>
      </c>
      <c r="V37" s="231">
        <f t="shared" si="18"/>
        <v>2.5000000000000001E-2</v>
      </c>
      <c r="W37" s="231">
        <f t="shared" si="18"/>
        <v>2.5000000000000001E-2</v>
      </c>
      <c r="X37" s="231">
        <f t="shared" si="18"/>
        <v>2.5000000000000001E-2</v>
      </c>
      <c r="Y37" s="231">
        <f t="shared" si="18"/>
        <v>2.5000000000000001E-2</v>
      </c>
      <c r="Z37" s="231">
        <f t="shared" si="18"/>
        <v>2.5000000000000001E-2</v>
      </c>
      <c r="AA37" s="231">
        <f t="shared" si="18"/>
        <v>2.5000000000000001E-2</v>
      </c>
      <c r="AB37" s="231">
        <f t="shared" si="18"/>
        <v>2.5000000000000001E-2</v>
      </c>
      <c r="AC37" s="231">
        <f t="shared" si="18"/>
        <v>2.5000000000000001E-2</v>
      </c>
      <c r="AD37" s="231">
        <f t="shared" si="18"/>
        <v>2.5000000000000001E-2</v>
      </c>
      <c r="AE37" s="231">
        <f t="shared" si="18"/>
        <v>2.5000000000000001E-2</v>
      </c>
      <c r="AF37" s="231">
        <f t="shared" si="18"/>
        <v>2.5000000000000001E-2</v>
      </c>
      <c r="AG37" s="231">
        <f t="shared" si="18"/>
        <v>2.5000000000000001E-2</v>
      </c>
    </row>
    <row r="38" spans="1:34" s="140" customFormat="1" ht="11.25" customHeight="1" x14ac:dyDescent="0.2">
      <c r="A38" s="116" t="s">
        <v>303</v>
      </c>
      <c r="B38" s="231">
        <v>0.06</v>
      </c>
      <c r="C38" s="231">
        <v>0.06</v>
      </c>
      <c r="D38" s="231">
        <v>0.06</v>
      </c>
      <c r="E38" s="231">
        <v>0.06</v>
      </c>
      <c r="F38" s="231">
        <v>0.06</v>
      </c>
      <c r="G38" s="231">
        <v>0.06</v>
      </c>
      <c r="H38" s="231">
        <v>0.06</v>
      </c>
      <c r="I38" s="231">
        <v>0.06</v>
      </c>
      <c r="J38" s="231">
        <v>0.06</v>
      </c>
      <c r="K38" s="231">
        <v>0.06</v>
      </c>
      <c r="L38" s="231">
        <v>0.06</v>
      </c>
      <c r="M38" s="231">
        <v>0.06</v>
      </c>
      <c r="N38" s="231">
        <v>0.06</v>
      </c>
      <c r="O38" s="231">
        <v>0.06</v>
      </c>
      <c r="P38" s="231">
        <v>0.06</v>
      </c>
      <c r="Q38" s="231">
        <v>0.06</v>
      </c>
      <c r="R38" s="231">
        <v>0.06</v>
      </c>
      <c r="S38" s="231">
        <v>0.06</v>
      </c>
      <c r="T38" s="231">
        <v>0.06</v>
      </c>
      <c r="U38" s="231">
        <v>0.06</v>
      </c>
      <c r="V38" s="231">
        <v>0.06</v>
      </c>
      <c r="W38" s="231">
        <v>0.06</v>
      </c>
      <c r="X38" s="231">
        <v>0.06</v>
      </c>
      <c r="Y38" s="231">
        <v>0.06</v>
      </c>
      <c r="Z38" s="231">
        <v>0.06</v>
      </c>
      <c r="AA38" s="231">
        <v>0.06</v>
      </c>
      <c r="AB38" s="231">
        <v>0.06</v>
      </c>
      <c r="AC38" s="231">
        <v>0.06</v>
      </c>
      <c r="AD38" s="231">
        <v>0.06</v>
      </c>
      <c r="AE38" s="231">
        <v>0.06</v>
      </c>
      <c r="AF38" s="231">
        <v>0.06</v>
      </c>
      <c r="AG38" s="231">
        <v>0.06</v>
      </c>
    </row>
    <row r="39" spans="1:34" s="140" customFormat="1" ht="11.25" customHeight="1" x14ac:dyDescent="0.2">
      <c r="A39" s="116" t="s">
        <v>305</v>
      </c>
      <c r="B39" s="231">
        <v>0.17</v>
      </c>
      <c r="C39" s="231">
        <v>0.17</v>
      </c>
      <c r="D39" s="231">
        <v>0.17</v>
      </c>
      <c r="E39" s="231">
        <v>0.17</v>
      </c>
      <c r="F39" s="231">
        <v>0.17</v>
      </c>
      <c r="G39" s="231">
        <v>0.17</v>
      </c>
      <c r="H39" s="231">
        <v>0.17</v>
      </c>
      <c r="I39" s="231">
        <v>0.17</v>
      </c>
      <c r="J39" s="231">
        <v>0.17</v>
      </c>
      <c r="K39" s="231">
        <v>0.17</v>
      </c>
      <c r="L39" s="231">
        <v>0.17</v>
      </c>
      <c r="M39" s="231">
        <v>0.17</v>
      </c>
      <c r="N39" s="231">
        <v>0.17</v>
      </c>
      <c r="O39" s="231">
        <v>0.17</v>
      </c>
      <c r="P39" s="231">
        <v>0.17</v>
      </c>
      <c r="Q39" s="231">
        <v>0.17</v>
      </c>
      <c r="R39" s="231">
        <v>0.17</v>
      </c>
      <c r="S39" s="231">
        <v>0.17</v>
      </c>
      <c r="T39" s="231">
        <v>0.17</v>
      </c>
      <c r="U39" s="231">
        <v>0.17</v>
      </c>
      <c r="V39" s="231">
        <v>0.17</v>
      </c>
      <c r="W39" s="231">
        <v>0.17</v>
      </c>
      <c r="X39" s="231">
        <v>0.17</v>
      </c>
      <c r="Y39" s="231">
        <v>0.17</v>
      </c>
      <c r="Z39" s="231">
        <v>0.17</v>
      </c>
      <c r="AA39" s="231">
        <v>0.17</v>
      </c>
      <c r="AB39" s="231">
        <v>0.17</v>
      </c>
      <c r="AC39" s="231">
        <v>0.17</v>
      </c>
      <c r="AD39" s="231">
        <v>0.17</v>
      </c>
      <c r="AE39" s="231">
        <v>0.17</v>
      </c>
      <c r="AF39" s="231">
        <v>0.17</v>
      </c>
      <c r="AG39" s="231">
        <v>0.17</v>
      </c>
    </row>
    <row r="40" spans="1:34" s="195" customFormat="1" ht="27" x14ac:dyDescent="0.2">
      <c r="A40" s="209" t="s">
        <v>309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</row>
    <row r="41" spans="1:34" s="140" customFormat="1" ht="11.25" customHeight="1" x14ac:dyDescent="0.2">
      <c r="A41" s="116" t="s">
        <v>304</v>
      </c>
      <c r="B41" s="231">
        <v>2.5000000000000001E-2</v>
      </c>
      <c r="C41" s="231">
        <f t="shared" ref="C41:AG41" si="19">B41</f>
        <v>2.5000000000000001E-2</v>
      </c>
      <c r="D41" s="231">
        <f t="shared" si="19"/>
        <v>2.5000000000000001E-2</v>
      </c>
      <c r="E41" s="231">
        <f t="shared" si="19"/>
        <v>2.5000000000000001E-2</v>
      </c>
      <c r="F41" s="231">
        <f t="shared" si="19"/>
        <v>2.5000000000000001E-2</v>
      </c>
      <c r="G41" s="231">
        <f t="shared" si="19"/>
        <v>2.5000000000000001E-2</v>
      </c>
      <c r="H41" s="231">
        <f t="shared" si="19"/>
        <v>2.5000000000000001E-2</v>
      </c>
      <c r="I41" s="231">
        <f t="shared" si="19"/>
        <v>2.5000000000000001E-2</v>
      </c>
      <c r="J41" s="231">
        <f t="shared" si="19"/>
        <v>2.5000000000000001E-2</v>
      </c>
      <c r="K41" s="231">
        <f t="shared" si="19"/>
        <v>2.5000000000000001E-2</v>
      </c>
      <c r="L41" s="231">
        <f t="shared" si="19"/>
        <v>2.5000000000000001E-2</v>
      </c>
      <c r="M41" s="231">
        <f t="shared" si="19"/>
        <v>2.5000000000000001E-2</v>
      </c>
      <c r="N41" s="231">
        <f t="shared" si="19"/>
        <v>2.5000000000000001E-2</v>
      </c>
      <c r="O41" s="231">
        <f t="shared" si="19"/>
        <v>2.5000000000000001E-2</v>
      </c>
      <c r="P41" s="231">
        <f t="shared" si="19"/>
        <v>2.5000000000000001E-2</v>
      </c>
      <c r="Q41" s="231">
        <f t="shared" si="19"/>
        <v>2.5000000000000001E-2</v>
      </c>
      <c r="R41" s="231">
        <f t="shared" si="19"/>
        <v>2.5000000000000001E-2</v>
      </c>
      <c r="S41" s="231">
        <f t="shared" si="19"/>
        <v>2.5000000000000001E-2</v>
      </c>
      <c r="T41" s="231">
        <f t="shared" si="19"/>
        <v>2.5000000000000001E-2</v>
      </c>
      <c r="U41" s="231">
        <f t="shared" si="19"/>
        <v>2.5000000000000001E-2</v>
      </c>
      <c r="V41" s="231">
        <f t="shared" si="19"/>
        <v>2.5000000000000001E-2</v>
      </c>
      <c r="W41" s="231">
        <f t="shared" si="19"/>
        <v>2.5000000000000001E-2</v>
      </c>
      <c r="X41" s="231">
        <f t="shared" si="19"/>
        <v>2.5000000000000001E-2</v>
      </c>
      <c r="Y41" s="231">
        <f t="shared" si="19"/>
        <v>2.5000000000000001E-2</v>
      </c>
      <c r="Z41" s="231">
        <f t="shared" si="19"/>
        <v>2.5000000000000001E-2</v>
      </c>
      <c r="AA41" s="231">
        <f t="shared" si="19"/>
        <v>2.5000000000000001E-2</v>
      </c>
      <c r="AB41" s="231">
        <f t="shared" si="19"/>
        <v>2.5000000000000001E-2</v>
      </c>
      <c r="AC41" s="231">
        <f t="shared" si="19"/>
        <v>2.5000000000000001E-2</v>
      </c>
      <c r="AD41" s="231">
        <f t="shared" si="19"/>
        <v>2.5000000000000001E-2</v>
      </c>
      <c r="AE41" s="231">
        <f t="shared" si="19"/>
        <v>2.5000000000000001E-2</v>
      </c>
      <c r="AF41" s="231">
        <f t="shared" si="19"/>
        <v>2.5000000000000001E-2</v>
      </c>
      <c r="AG41" s="231">
        <f t="shared" si="19"/>
        <v>2.5000000000000001E-2</v>
      </c>
    </row>
    <row r="42" spans="1:34" s="140" customFormat="1" ht="11.25" customHeight="1" x14ac:dyDescent="0.2">
      <c r="A42" s="116" t="s">
        <v>303</v>
      </c>
      <c r="B42" s="231">
        <v>0.06</v>
      </c>
      <c r="C42" s="231">
        <v>0.06</v>
      </c>
      <c r="D42" s="231">
        <v>0.06</v>
      </c>
      <c r="E42" s="231">
        <v>0.06</v>
      </c>
      <c r="F42" s="231">
        <v>0.06</v>
      </c>
      <c r="G42" s="231">
        <v>0.06</v>
      </c>
      <c r="H42" s="231">
        <v>0.06</v>
      </c>
      <c r="I42" s="231">
        <v>0.06</v>
      </c>
      <c r="J42" s="231">
        <v>0.06</v>
      </c>
      <c r="K42" s="231">
        <v>0.06</v>
      </c>
      <c r="L42" s="231">
        <v>0.06</v>
      </c>
      <c r="M42" s="231">
        <v>0.06</v>
      </c>
      <c r="N42" s="231">
        <v>0.06</v>
      </c>
      <c r="O42" s="231">
        <v>0.06</v>
      </c>
      <c r="P42" s="231">
        <v>0.06</v>
      </c>
      <c r="Q42" s="231">
        <v>0.06</v>
      </c>
      <c r="R42" s="231">
        <v>0.06</v>
      </c>
      <c r="S42" s="231">
        <v>0.06</v>
      </c>
      <c r="T42" s="231">
        <v>0.06</v>
      </c>
      <c r="U42" s="231">
        <v>0.06</v>
      </c>
      <c r="V42" s="231">
        <v>0.06</v>
      </c>
      <c r="W42" s="231">
        <v>0.06</v>
      </c>
      <c r="X42" s="231">
        <v>0.06</v>
      </c>
      <c r="Y42" s="231">
        <v>0.06</v>
      </c>
      <c r="Z42" s="231">
        <v>0.06</v>
      </c>
      <c r="AA42" s="231">
        <v>0.06</v>
      </c>
      <c r="AB42" s="231">
        <v>0.06</v>
      </c>
      <c r="AC42" s="231">
        <v>0.06</v>
      </c>
      <c r="AD42" s="231">
        <v>0.06</v>
      </c>
      <c r="AE42" s="231">
        <v>0.06</v>
      </c>
      <c r="AF42" s="231">
        <v>0.06</v>
      </c>
      <c r="AG42" s="231">
        <v>0.06</v>
      </c>
    </row>
    <row r="43" spans="1:34" s="140" customFormat="1" ht="11.25" customHeight="1" x14ac:dyDescent="0.2">
      <c r="A43" s="116" t="s">
        <v>305</v>
      </c>
      <c r="B43" s="231">
        <v>0.17</v>
      </c>
      <c r="C43" s="231">
        <v>0.17</v>
      </c>
      <c r="D43" s="231">
        <v>0.17</v>
      </c>
      <c r="E43" s="231">
        <v>0.17</v>
      </c>
      <c r="F43" s="231">
        <v>0.17</v>
      </c>
      <c r="G43" s="231">
        <v>0.17</v>
      </c>
      <c r="H43" s="231">
        <v>0.17</v>
      </c>
      <c r="I43" s="231">
        <v>0.17</v>
      </c>
      <c r="J43" s="231">
        <v>0.17</v>
      </c>
      <c r="K43" s="231">
        <v>0.17</v>
      </c>
      <c r="L43" s="231">
        <v>0.17</v>
      </c>
      <c r="M43" s="231">
        <v>0.17</v>
      </c>
      <c r="N43" s="231">
        <v>0.17</v>
      </c>
      <c r="O43" s="231">
        <v>0.17</v>
      </c>
      <c r="P43" s="231">
        <v>0.17</v>
      </c>
      <c r="Q43" s="231">
        <v>0.17</v>
      </c>
      <c r="R43" s="231">
        <v>0.17</v>
      </c>
      <c r="S43" s="231">
        <v>0.17</v>
      </c>
      <c r="T43" s="231">
        <v>0.17</v>
      </c>
      <c r="U43" s="231">
        <v>0.17</v>
      </c>
      <c r="V43" s="231">
        <v>0.17</v>
      </c>
      <c r="W43" s="231">
        <v>0.17</v>
      </c>
      <c r="X43" s="231">
        <v>0.17</v>
      </c>
      <c r="Y43" s="231">
        <v>0.17</v>
      </c>
      <c r="Z43" s="231">
        <v>0.17</v>
      </c>
      <c r="AA43" s="231">
        <v>0.17</v>
      </c>
      <c r="AB43" s="231">
        <v>0.17</v>
      </c>
      <c r="AC43" s="231">
        <v>0.17</v>
      </c>
      <c r="AD43" s="231">
        <v>0.17</v>
      </c>
      <c r="AE43" s="231">
        <v>0.17</v>
      </c>
      <c r="AF43" s="231">
        <v>0.17</v>
      </c>
      <c r="AG43" s="231">
        <v>0.17</v>
      </c>
    </row>
    <row r="44" spans="1:34" s="140" customFormat="1" ht="13.5" x14ac:dyDescent="0.2">
      <c r="A44" s="116" t="s">
        <v>335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232"/>
      <c r="AB44" s="232"/>
      <c r="AC44" s="232"/>
      <c r="AD44" s="232"/>
      <c r="AE44" s="232"/>
      <c r="AF44" s="232"/>
      <c r="AG44" s="232"/>
    </row>
    <row r="45" spans="1:34" s="140" customFormat="1" ht="13.5" x14ac:dyDescent="0.2">
      <c r="A45" s="116" t="s">
        <v>336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232"/>
      <c r="AB45" s="232"/>
      <c r="AC45" s="232"/>
      <c r="AD45" s="232"/>
      <c r="AE45" s="232"/>
      <c r="AF45" s="232"/>
      <c r="AG45" s="232"/>
    </row>
    <row r="46" spans="1:34" s="140" customFormat="1" ht="10.5" hidden="1" customHeight="1" x14ac:dyDescent="0.2">
      <c r="A46" s="234"/>
    </row>
    <row r="47" spans="1:34" ht="15.75" x14ac:dyDescent="0.2">
      <c r="A47" s="233" t="s">
        <v>401</v>
      </c>
    </row>
    <row r="48" spans="1:34" s="140" customFormat="1" ht="13.5" customHeight="1" x14ac:dyDescent="0.25">
      <c r="A48" s="17" t="s">
        <v>262</v>
      </c>
      <c r="B48" s="18" t="s">
        <v>2</v>
      </c>
      <c r="C48" s="18">
        <f>'Założenia-dane wejściowe '!D12</f>
        <v>2013</v>
      </c>
      <c r="D48" s="18">
        <f>C48+1</f>
        <v>2014</v>
      </c>
      <c r="E48" s="18">
        <f t="shared" ref="E48:AH48" si="20">D48+1</f>
        <v>2015</v>
      </c>
      <c r="F48" s="18">
        <f t="shared" si="20"/>
        <v>2016</v>
      </c>
      <c r="G48" s="18">
        <f t="shared" si="20"/>
        <v>2017</v>
      </c>
      <c r="H48" s="18">
        <f t="shared" si="20"/>
        <v>2018</v>
      </c>
      <c r="I48" s="18">
        <f t="shared" si="20"/>
        <v>2019</v>
      </c>
      <c r="J48" s="18">
        <f t="shared" si="20"/>
        <v>2020</v>
      </c>
      <c r="K48" s="18">
        <f t="shared" si="20"/>
        <v>2021</v>
      </c>
      <c r="L48" s="18">
        <f t="shared" si="20"/>
        <v>2022</v>
      </c>
      <c r="M48" s="18">
        <f t="shared" si="20"/>
        <v>2023</v>
      </c>
      <c r="N48" s="18">
        <f t="shared" si="20"/>
        <v>2024</v>
      </c>
      <c r="O48" s="18">
        <f t="shared" si="20"/>
        <v>2025</v>
      </c>
      <c r="P48" s="18">
        <f t="shared" si="20"/>
        <v>2026</v>
      </c>
      <c r="Q48" s="18">
        <f t="shared" si="20"/>
        <v>2027</v>
      </c>
      <c r="R48" s="18">
        <f t="shared" si="20"/>
        <v>2028</v>
      </c>
      <c r="S48" s="18">
        <f t="shared" si="20"/>
        <v>2029</v>
      </c>
      <c r="T48" s="18">
        <f t="shared" si="20"/>
        <v>2030</v>
      </c>
      <c r="U48" s="18">
        <f t="shared" si="20"/>
        <v>2031</v>
      </c>
      <c r="V48" s="18">
        <f t="shared" si="20"/>
        <v>2032</v>
      </c>
      <c r="W48" s="18">
        <f t="shared" si="20"/>
        <v>2033</v>
      </c>
      <c r="X48" s="18">
        <f t="shared" si="20"/>
        <v>2034</v>
      </c>
      <c r="Y48" s="18">
        <f t="shared" si="20"/>
        <v>2035</v>
      </c>
      <c r="Z48" s="18">
        <f t="shared" si="20"/>
        <v>2036</v>
      </c>
      <c r="AA48" s="18">
        <f t="shared" si="20"/>
        <v>2037</v>
      </c>
      <c r="AB48" s="18">
        <f t="shared" si="20"/>
        <v>2038</v>
      </c>
      <c r="AC48" s="18">
        <f t="shared" si="20"/>
        <v>2039</v>
      </c>
      <c r="AD48" s="18">
        <f t="shared" si="20"/>
        <v>2040</v>
      </c>
      <c r="AE48" s="18">
        <f t="shared" si="20"/>
        <v>2041</v>
      </c>
      <c r="AF48" s="18">
        <f t="shared" si="20"/>
        <v>2042</v>
      </c>
      <c r="AG48" s="18">
        <f t="shared" si="20"/>
        <v>2043</v>
      </c>
      <c r="AH48" s="18">
        <f t="shared" si="20"/>
        <v>2044</v>
      </c>
    </row>
    <row r="49" spans="1:34" s="140" customFormat="1" ht="27" x14ac:dyDescent="0.25">
      <c r="A49" s="13" t="s">
        <v>327</v>
      </c>
      <c r="B49" s="2" t="s">
        <v>9</v>
      </c>
      <c r="C49" s="14">
        <f>'Założenia-dane wejściowe '!D22</f>
        <v>57524</v>
      </c>
      <c r="D49" s="14">
        <f>C49</f>
        <v>57524</v>
      </c>
      <c r="E49" s="14">
        <f t="shared" ref="E49:T50" si="21">D49</f>
        <v>57524</v>
      </c>
      <c r="F49" s="14">
        <f t="shared" si="21"/>
        <v>57524</v>
      </c>
      <c r="G49" s="14">
        <f t="shared" si="21"/>
        <v>57524</v>
      </c>
      <c r="H49" s="14">
        <f t="shared" si="21"/>
        <v>57524</v>
      </c>
      <c r="I49" s="14">
        <f t="shared" si="21"/>
        <v>57524</v>
      </c>
      <c r="J49" s="14">
        <f t="shared" si="21"/>
        <v>57524</v>
      </c>
      <c r="K49" s="14">
        <f t="shared" si="21"/>
        <v>57524</v>
      </c>
      <c r="L49" s="14">
        <f t="shared" si="21"/>
        <v>57524</v>
      </c>
      <c r="M49" s="14">
        <f t="shared" si="21"/>
        <v>57524</v>
      </c>
      <c r="N49" s="14">
        <f t="shared" si="21"/>
        <v>57524</v>
      </c>
      <c r="O49" s="14">
        <f t="shared" si="21"/>
        <v>57524</v>
      </c>
      <c r="P49" s="14">
        <f t="shared" si="21"/>
        <v>57524</v>
      </c>
      <c r="Q49" s="14">
        <f t="shared" si="21"/>
        <v>57524</v>
      </c>
      <c r="R49" s="14">
        <f t="shared" si="21"/>
        <v>57524</v>
      </c>
      <c r="S49" s="14">
        <f t="shared" si="21"/>
        <v>57524</v>
      </c>
      <c r="T49" s="14">
        <f t="shared" si="21"/>
        <v>57524</v>
      </c>
      <c r="U49" s="14">
        <f t="shared" ref="U49:AF50" si="22">T49</f>
        <v>57524</v>
      </c>
      <c r="V49" s="14">
        <f t="shared" si="22"/>
        <v>57524</v>
      </c>
      <c r="W49" s="14">
        <f t="shared" si="22"/>
        <v>57524</v>
      </c>
      <c r="X49" s="14">
        <f t="shared" si="22"/>
        <v>57524</v>
      </c>
      <c r="Y49" s="14">
        <f t="shared" si="22"/>
        <v>57524</v>
      </c>
      <c r="Z49" s="14">
        <f t="shared" si="22"/>
        <v>57524</v>
      </c>
      <c r="AA49" s="14">
        <f t="shared" si="22"/>
        <v>57524</v>
      </c>
      <c r="AB49" s="14">
        <f t="shared" si="22"/>
        <v>57524</v>
      </c>
      <c r="AC49" s="14">
        <f t="shared" si="22"/>
        <v>57524</v>
      </c>
      <c r="AD49" s="14">
        <f>AC49</f>
        <v>57524</v>
      </c>
      <c r="AE49" s="14">
        <f t="shared" si="22"/>
        <v>57524</v>
      </c>
      <c r="AF49" s="14">
        <f t="shared" si="22"/>
        <v>57524</v>
      </c>
      <c r="AG49" s="14">
        <f>AF49</f>
        <v>57524</v>
      </c>
      <c r="AH49" s="14">
        <f>AG49</f>
        <v>57524</v>
      </c>
    </row>
    <row r="50" spans="1:34" s="140" customFormat="1" ht="27" x14ac:dyDescent="0.25">
      <c r="A50" s="16" t="s">
        <v>272</v>
      </c>
      <c r="B50" s="2" t="s">
        <v>21</v>
      </c>
      <c r="C50" s="442">
        <f>'Założenia-dane wejściowe '!D23</f>
        <v>0.09</v>
      </c>
      <c r="D50" s="442">
        <f t="shared" ref="D50:S55" si="23">C50</f>
        <v>0.09</v>
      </c>
      <c r="E50" s="442">
        <f t="shared" si="21"/>
        <v>0.09</v>
      </c>
      <c r="F50" s="442">
        <f t="shared" si="21"/>
        <v>0.09</v>
      </c>
      <c r="G50" s="442">
        <f t="shared" si="21"/>
        <v>0.09</v>
      </c>
      <c r="H50" s="442">
        <f t="shared" si="21"/>
        <v>0.09</v>
      </c>
      <c r="I50" s="442">
        <f t="shared" si="21"/>
        <v>0.09</v>
      </c>
      <c r="J50" s="442">
        <f t="shared" si="21"/>
        <v>0.09</v>
      </c>
      <c r="K50" s="442">
        <f t="shared" si="21"/>
        <v>0.09</v>
      </c>
      <c r="L50" s="442">
        <f t="shared" si="21"/>
        <v>0.09</v>
      </c>
      <c r="M50" s="442">
        <f t="shared" si="21"/>
        <v>0.09</v>
      </c>
      <c r="N50" s="442">
        <f t="shared" si="21"/>
        <v>0.09</v>
      </c>
      <c r="O50" s="442">
        <f t="shared" si="21"/>
        <v>0.09</v>
      </c>
      <c r="P50" s="442">
        <f t="shared" si="21"/>
        <v>0.09</v>
      </c>
      <c r="Q50" s="442">
        <f t="shared" si="21"/>
        <v>0.09</v>
      </c>
      <c r="R50" s="442">
        <f t="shared" si="21"/>
        <v>0.09</v>
      </c>
      <c r="S50" s="442">
        <f t="shared" si="21"/>
        <v>0.09</v>
      </c>
      <c r="T50" s="442">
        <f t="shared" si="21"/>
        <v>0.09</v>
      </c>
      <c r="U50" s="442">
        <f t="shared" si="22"/>
        <v>0.09</v>
      </c>
      <c r="V50" s="442">
        <f t="shared" si="22"/>
        <v>0.09</v>
      </c>
      <c r="W50" s="442">
        <f t="shared" si="22"/>
        <v>0.09</v>
      </c>
      <c r="X50" s="442">
        <f t="shared" si="22"/>
        <v>0.09</v>
      </c>
      <c r="Y50" s="442">
        <f t="shared" si="22"/>
        <v>0.09</v>
      </c>
      <c r="Z50" s="442">
        <f t="shared" si="22"/>
        <v>0.09</v>
      </c>
      <c r="AA50" s="442">
        <f t="shared" si="22"/>
        <v>0.09</v>
      </c>
      <c r="AB50" s="442">
        <f t="shared" si="22"/>
        <v>0.09</v>
      </c>
      <c r="AC50" s="442">
        <f t="shared" si="22"/>
        <v>0.09</v>
      </c>
      <c r="AD50" s="442">
        <f>AC50</f>
        <v>0.09</v>
      </c>
      <c r="AE50" s="442">
        <f t="shared" si="22"/>
        <v>0.09</v>
      </c>
      <c r="AF50" s="442">
        <f t="shared" si="22"/>
        <v>0.09</v>
      </c>
      <c r="AG50" s="442">
        <f>AF50</f>
        <v>0.09</v>
      </c>
      <c r="AH50" s="442">
        <f>AG50</f>
        <v>0.09</v>
      </c>
    </row>
    <row r="51" spans="1:34" s="140" customFormat="1" ht="13.5" x14ac:dyDescent="0.25">
      <c r="A51" s="21" t="s">
        <v>264</v>
      </c>
      <c r="B51" s="2" t="s">
        <v>10</v>
      </c>
      <c r="C51" s="57">
        <f>'Założenia-dane wejściowe '!D24</f>
        <v>5.47</v>
      </c>
      <c r="D51" s="57">
        <f>'Założenia-dane wejściowe '!E24</f>
        <v>5.47</v>
      </c>
      <c r="E51" s="57">
        <f>'Założenia-dane wejściowe '!F24</f>
        <v>5.47</v>
      </c>
      <c r="F51" s="57">
        <f>'Założenia-dane wejściowe '!G24</f>
        <v>5.47</v>
      </c>
      <c r="G51" s="57">
        <f>'Założenia-dane wejściowe '!H24</f>
        <v>5.47</v>
      </c>
      <c r="H51" s="57">
        <f>'Założenia-dane wejściowe '!I24</f>
        <v>5.47</v>
      </c>
      <c r="I51" s="57">
        <f>'Założenia-dane wejściowe '!J24</f>
        <v>5.47</v>
      </c>
      <c r="J51" s="57">
        <f>'Założenia-dane wejściowe '!K24</f>
        <v>5.47</v>
      </c>
      <c r="K51" s="57">
        <f>'Założenia-dane wejściowe '!L24</f>
        <v>5.47</v>
      </c>
      <c r="L51" s="57">
        <f>'Założenia-dane wejściowe '!M24</f>
        <v>5.47</v>
      </c>
      <c r="M51" s="57">
        <f>'Założenia-dane wejściowe '!N24</f>
        <v>5.47</v>
      </c>
      <c r="N51" s="57">
        <f>'Założenia-dane wejściowe '!O24</f>
        <v>5.47</v>
      </c>
      <c r="O51" s="57">
        <f>'Założenia-dane wejściowe '!P24</f>
        <v>5.47</v>
      </c>
      <c r="P51" s="57">
        <f>'Założenia-dane wejściowe '!Q24</f>
        <v>5.47</v>
      </c>
      <c r="Q51" s="57">
        <f>'Założenia-dane wejściowe '!R24</f>
        <v>5.47</v>
      </c>
      <c r="R51" s="57">
        <f>'Założenia-dane wejściowe '!S24</f>
        <v>5.47</v>
      </c>
      <c r="S51" s="57">
        <f>'Założenia-dane wejściowe '!T24</f>
        <v>5.47</v>
      </c>
      <c r="T51" s="57">
        <f>'Założenia-dane wejściowe '!U24</f>
        <v>5.47</v>
      </c>
      <c r="U51" s="57">
        <f>'Założenia-dane wejściowe '!V24</f>
        <v>5.47</v>
      </c>
      <c r="V51" s="57">
        <f>'Założenia-dane wejściowe '!W24</f>
        <v>5.47</v>
      </c>
      <c r="W51" s="57">
        <f>'Założenia-dane wejściowe '!X24</f>
        <v>5.47</v>
      </c>
      <c r="X51" s="57">
        <f>'Założenia-dane wejściowe '!Y24</f>
        <v>5.47</v>
      </c>
      <c r="Y51" s="57">
        <f>'Założenia-dane wejściowe '!Z24</f>
        <v>5.47</v>
      </c>
      <c r="Z51" s="57">
        <f>'Założenia-dane wejściowe '!AA24</f>
        <v>5.47</v>
      </c>
      <c r="AA51" s="57">
        <f>'Założenia-dane wejściowe '!AB24</f>
        <v>5.47</v>
      </c>
      <c r="AB51" s="57">
        <f>'Założenia-dane wejściowe '!AC24</f>
        <v>5.47</v>
      </c>
      <c r="AC51" s="57">
        <f>'Założenia-dane wejściowe '!AD24</f>
        <v>5.47</v>
      </c>
      <c r="AD51" s="57">
        <f>'Założenia-dane wejściowe '!AE24</f>
        <v>5.47</v>
      </c>
      <c r="AE51" s="57">
        <f>'Założenia-dane wejściowe '!AF24</f>
        <v>5.47</v>
      </c>
      <c r="AF51" s="57">
        <f>'Założenia-dane wejściowe '!AG24</f>
        <v>5.47</v>
      </c>
      <c r="AG51" s="57">
        <f>'Założenia-dane wejściowe '!AH24</f>
        <v>5.47</v>
      </c>
      <c r="AH51" s="57">
        <f>'Założenia-dane wejściowe '!AI24</f>
        <v>5.47</v>
      </c>
    </row>
    <row r="52" spans="1:34" s="140" customFormat="1" ht="27" x14ac:dyDescent="0.25">
      <c r="A52" s="13" t="s">
        <v>275</v>
      </c>
      <c r="B52" s="2" t="s">
        <v>12</v>
      </c>
      <c r="C52" s="14">
        <f>'Założenia-dane wejściowe '!D25</f>
        <v>3431</v>
      </c>
      <c r="D52" s="14">
        <f t="shared" si="23"/>
        <v>3431</v>
      </c>
      <c r="E52" s="14">
        <f t="shared" si="23"/>
        <v>3431</v>
      </c>
      <c r="F52" s="14">
        <f t="shared" si="23"/>
        <v>3431</v>
      </c>
      <c r="G52" s="14">
        <f t="shared" si="23"/>
        <v>3431</v>
      </c>
      <c r="H52" s="14">
        <f t="shared" si="23"/>
        <v>3431</v>
      </c>
      <c r="I52" s="14">
        <f t="shared" si="23"/>
        <v>3431</v>
      </c>
      <c r="J52" s="14">
        <f t="shared" si="23"/>
        <v>3431</v>
      </c>
      <c r="K52" s="14">
        <f t="shared" si="23"/>
        <v>3431</v>
      </c>
      <c r="L52" s="14">
        <f t="shared" si="23"/>
        <v>3431</v>
      </c>
      <c r="M52" s="14">
        <f t="shared" si="23"/>
        <v>3431</v>
      </c>
      <c r="N52" s="14">
        <f t="shared" si="23"/>
        <v>3431</v>
      </c>
      <c r="O52" s="14">
        <f t="shared" si="23"/>
        <v>3431</v>
      </c>
      <c r="P52" s="14">
        <f t="shared" si="23"/>
        <v>3431</v>
      </c>
      <c r="Q52" s="14">
        <f t="shared" si="23"/>
        <v>3431</v>
      </c>
      <c r="R52" s="14">
        <f t="shared" si="23"/>
        <v>3431</v>
      </c>
      <c r="S52" s="14">
        <f t="shared" si="23"/>
        <v>3431</v>
      </c>
      <c r="T52" s="14">
        <f t="shared" ref="T52:AF55" si="24">S52</f>
        <v>3431</v>
      </c>
      <c r="U52" s="14">
        <f t="shared" si="24"/>
        <v>3431</v>
      </c>
      <c r="V52" s="14">
        <f t="shared" si="24"/>
        <v>3431</v>
      </c>
      <c r="W52" s="14">
        <f t="shared" si="24"/>
        <v>3431</v>
      </c>
      <c r="X52" s="14">
        <f t="shared" si="24"/>
        <v>3431</v>
      </c>
      <c r="Y52" s="14">
        <f t="shared" si="24"/>
        <v>3431</v>
      </c>
      <c r="Z52" s="14">
        <f t="shared" si="24"/>
        <v>3431</v>
      </c>
      <c r="AA52" s="14">
        <f t="shared" si="24"/>
        <v>3431</v>
      </c>
      <c r="AB52" s="14">
        <f t="shared" si="24"/>
        <v>3431</v>
      </c>
      <c r="AC52" s="14">
        <f t="shared" si="24"/>
        <v>3431</v>
      </c>
      <c r="AD52" s="14">
        <f>AC52</f>
        <v>3431</v>
      </c>
      <c r="AE52" s="14">
        <f t="shared" si="24"/>
        <v>3431</v>
      </c>
      <c r="AF52" s="14">
        <f t="shared" si="24"/>
        <v>3431</v>
      </c>
      <c r="AG52" s="14">
        <f t="shared" ref="AG52:AH55" si="25">AF52</f>
        <v>3431</v>
      </c>
      <c r="AH52" s="14">
        <f t="shared" si="25"/>
        <v>3431</v>
      </c>
    </row>
    <row r="53" spans="1:34" s="140" customFormat="1" ht="27" x14ac:dyDescent="0.25">
      <c r="A53" s="13" t="s">
        <v>271</v>
      </c>
      <c r="B53" s="2" t="s">
        <v>13</v>
      </c>
      <c r="C53" s="442">
        <f>'Założenia-dane wejściowe '!D26</f>
        <v>1.04</v>
      </c>
      <c r="D53" s="442">
        <f t="shared" si="23"/>
        <v>1.04</v>
      </c>
      <c r="E53" s="442">
        <f t="shared" si="23"/>
        <v>1.04</v>
      </c>
      <c r="F53" s="442">
        <f t="shared" si="23"/>
        <v>1.04</v>
      </c>
      <c r="G53" s="442">
        <f t="shared" si="23"/>
        <v>1.04</v>
      </c>
      <c r="H53" s="442">
        <f t="shared" si="23"/>
        <v>1.04</v>
      </c>
      <c r="I53" s="442">
        <f t="shared" si="23"/>
        <v>1.04</v>
      </c>
      <c r="J53" s="442">
        <f t="shared" si="23"/>
        <v>1.04</v>
      </c>
      <c r="K53" s="442">
        <f t="shared" si="23"/>
        <v>1.04</v>
      </c>
      <c r="L53" s="442">
        <f t="shared" si="23"/>
        <v>1.04</v>
      </c>
      <c r="M53" s="442">
        <f t="shared" si="23"/>
        <v>1.04</v>
      </c>
      <c r="N53" s="442">
        <f t="shared" si="23"/>
        <v>1.04</v>
      </c>
      <c r="O53" s="442">
        <f t="shared" si="23"/>
        <v>1.04</v>
      </c>
      <c r="P53" s="442">
        <f t="shared" si="23"/>
        <v>1.04</v>
      </c>
      <c r="Q53" s="442">
        <f t="shared" si="23"/>
        <v>1.04</v>
      </c>
      <c r="R53" s="442">
        <f t="shared" si="23"/>
        <v>1.04</v>
      </c>
      <c r="S53" s="442">
        <f t="shared" si="23"/>
        <v>1.04</v>
      </c>
      <c r="T53" s="442">
        <f t="shared" si="24"/>
        <v>1.04</v>
      </c>
      <c r="U53" s="442">
        <f t="shared" si="24"/>
        <v>1.04</v>
      </c>
      <c r="V53" s="442">
        <f t="shared" si="24"/>
        <v>1.04</v>
      </c>
      <c r="W53" s="442">
        <f t="shared" si="24"/>
        <v>1.04</v>
      </c>
      <c r="X53" s="442">
        <f t="shared" si="24"/>
        <v>1.04</v>
      </c>
      <c r="Y53" s="442">
        <f t="shared" si="24"/>
        <v>1.04</v>
      </c>
      <c r="Z53" s="442">
        <f t="shared" si="24"/>
        <v>1.04</v>
      </c>
      <c r="AA53" s="442">
        <f t="shared" si="24"/>
        <v>1.04</v>
      </c>
      <c r="AB53" s="442">
        <f t="shared" si="24"/>
        <v>1.04</v>
      </c>
      <c r="AC53" s="442">
        <f t="shared" si="24"/>
        <v>1.04</v>
      </c>
      <c r="AD53" s="442">
        <f t="shared" si="24"/>
        <v>1.04</v>
      </c>
      <c r="AE53" s="442">
        <f t="shared" si="24"/>
        <v>1.04</v>
      </c>
      <c r="AF53" s="442">
        <f t="shared" si="24"/>
        <v>1.04</v>
      </c>
      <c r="AG53" s="442">
        <f t="shared" si="25"/>
        <v>1.04</v>
      </c>
      <c r="AH53" s="442">
        <f t="shared" si="25"/>
        <v>1.04</v>
      </c>
    </row>
    <row r="54" spans="1:34" s="140" customFormat="1" ht="40.5" x14ac:dyDescent="0.25">
      <c r="A54" s="13" t="s">
        <v>276</v>
      </c>
      <c r="B54" s="2" t="s">
        <v>12</v>
      </c>
      <c r="C54" s="14">
        <f>'Założenia-dane wejściowe '!D27</f>
        <v>31107</v>
      </c>
      <c r="D54" s="14">
        <f t="shared" si="23"/>
        <v>31107</v>
      </c>
      <c r="E54" s="14">
        <f t="shared" si="23"/>
        <v>31107</v>
      </c>
      <c r="F54" s="14">
        <f t="shared" si="23"/>
        <v>31107</v>
      </c>
      <c r="G54" s="14">
        <f t="shared" si="23"/>
        <v>31107</v>
      </c>
      <c r="H54" s="14">
        <f t="shared" si="23"/>
        <v>31107</v>
      </c>
      <c r="I54" s="14">
        <f t="shared" si="23"/>
        <v>31107</v>
      </c>
      <c r="J54" s="14">
        <f t="shared" si="23"/>
        <v>31107</v>
      </c>
      <c r="K54" s="14">
        <f t="shared" si="23"/>
        <v>31107</v>
      </c>
      <c r="L54" s="14">
        <f t="shared" si="23"/>
        <v>31107</v>
      </c>
      <c r="M54" s="14">
        <f t="shared" si="23"/>
        <v>31107</v>
      </c>
      <c r="N54" s="14">
        <f t="shared" si="23"/>
        <v>31107</v>
      </c>
      <c r="O54" s="14">
        <f t="shared" si="23"/>
        <v>31107</v>
      </c>
      <c r="P54" s="14">
        <f t="shared" si="23"/>
        <v>31107</v>
      </c>
      <c r="Q54" s="14">
        <f t="shared" si="23"/>
        <v>31107</v>
      </c>
      <c r="R54" s="14">
        <f t="shared" si="23"/>
        <v>31107</v>
      </c>
      <c r="S54" s="14">
        <f t="shared" si="23"/>
        <v>31107</v>
      </c>
      <c r="T54" s="14">
        <f t="shared" si="24"/>
        <v>31107</v>
      </c>
      <c r="U54" s="14">
        <f t="shared" si="24"/>
        <v>31107</v>
      </c>
      <c r="V54" s="14">
        <f t="shared" si="24"/>
        <v>31107</v>
      </c>
      <c r="W54" s="14">
        <f t="shared" si="24"/>
        <v>31107</v>
      </c>
      <c r="X54" s="14">
        <f t="shared" si="24"/>
        <v>31107</v>
      </c>
      <c r="Y54" s="14">
        <f t="shared" si="24"/>
        <v>31107</v>
      </c>
      <c r="Z54" s="14">
        <f t="shared" si="24"/>
        <v>31107</v>
      </c>
      <c r="AA54" s="14">
        <f t="shared" si="24"/>
        <v>31107</v>
      </c>
      <c r="AB54" s="14">
        <f t="shared" si="24"/>
        <v>31107</v>
      </c>
      <c r="AC54" s="14">
        <f t="shared" si="24"/>
        <v>31107</v>
      </c>
      <c r="AD54" s="14">
        <f t="shared" si="24"/>
        <v>31107</v>
      </c>
      <c r="AE54" s="14">
        <f t="shared" si="24"/>
        <v>31107</v>
      </c>
      <c r="AF54" s="14">
        <f t="shared" si="24"/>
        <v>31107</v>
      </c>
      <c r="AG54" s="14">
        <f t="shared" si="25"/>
        <v>31107</v>
      </c>
      <c r="AH54" s="14">
        <f t="shared" si="25"/>
        <v>31107</v>
      </c>
    </row>
    <row r="55" spans="1:34" s="140" customFormat="1" ht="27" x14ac:dyDescent="0.25">
      <c r="A55" s="13" t="s">
        <v>273</v>
      </c>
      <c r="B55" s="212" t="s">
        <v>13</v>
      </c>
      <c r="C55" s="442">
        <f>'Założenia-dane wejściowe '!D28</f>
        <v>0.17</v>
      </c>
      <c r="D55" s="448">
        <f t="shared" si="23"/>
        <v>0.17</v>
      </c>
      <c r="E55" s="442">
        <f t="shared" si="23"/>
        <v>0.17</v>
      </c>
      <c r="F55" s="442">
        <f t="shared" si="23"/>
        <v>0.17</v>
      </c>
      <c r="G55" s="442">
        <f t="shared" si="23"/>
        <v>0.17</v>
      </c>
      <c r="H55" s="442">
        <f t="shared" si="23"/>
        <v>0.17</v>
      </c>
      <c r="I55" s="442">
        <f t="shared" si="23"/>
        <v>0.17</v>
      </c>
      <c r="J55" s="442">
        <f t="shared" si="23"/>
        <v>0.17</v>
      </c>
      <c r="K55" s="442">
        <f t="shared" si="23"/>
        <v>0.17</v>
      </c>
      <c r="L55" s="442">
        <f t="shared" si="23"/>
        <v>0.17</v>
      </c>
      <c r="M55" s="442">
        <f t="shared" si="23"/>
        <v>0.17</v>
      </c>
      <c r="N55" s="442">
        <f t="shared" si="23"/>
        <v>0.17</v>
      </c>
      <c r="O55" s="442">
        <f t="shared" si="23"/>
        <v>0.17</v>
      </c>
      <c r="P55" s="442">
        <f t="shared" si="23"/>
        <v>0.17</v>
      </c>
      <c r="Q55" s="442">
        <f t="shared" si="23"/>
        <v>0.17</v>
      </c>
      <c r="R55" s="442">
        <f t="shared" si="23"/>
        <v>0.17</v>
      </c>
      <c r="S55" s="442">
        <f t="shared" si="23"/>
        <v>0.17</v>
      </c>
      <c r="T55" s="442">
        <f t="shared" si="24"/>
        <v>0.17</v>
      </c>
      <c r="U55" s="442">
        <f t="shared" si="24"/>
        <v>0.17</v>
      </c>
      <c r="V55" s="442">
        <f t="shared" si="24"/>
        <v>0.17</v>
      </c>
      <c r="W55" s="442">
        <f t="shared" si="24"/>
        <v>0.17</v>
      </c>
      <c r="X55" s="442">
        <f t="shared" si="24"/>
        <v>0.17</v>
      </c>
      <c r="Y55" s="442">
        <f t="shared" si="24"/>
        <v>0.17</v>
      </c>
      <c r="Z55" s="442">
        <f t="shared" si="24"/>
        <v>0.17</v>
      </c>
      <c r="AA55" s="442">
        <f t="shared" si="24"/>
        <v>0.17</v>
      </c>
      <c r="AB55" s="442">
        <f t="shared" si="24"/>
        <v>0.17</v>
      </c>
      <c r="AC55" s="442">
        <f t="shared" si="24"/>
        <v>0.17</v>
      </c>
      <c r="AD55" s="442">
        <f t="shared" si="24"/>
        <v>0.17</v>
      </c>
      <c r="AE55" s="442">
        <f t="shared" si="24"/>
        <v>0.17</v>
      </c>
      <c r="AF55" s="442">
        <f t="shared" si="24"/>
        <v>0.17</v>
      </c>
      <c r="AG55" s="442">
        <f t="shared" si="25"/>
        <v>0.17</v>
      </c>
      <c r="AH55" s="442">
        <f t="shared" si="25"/>
        <v>0.17</v>
      </c>
    </row>
    <row r="56" spans="1:34" s="140" customFormat="1" ht="13.5" x14ac:dyDescent="0.25">
      <c r="A56" s="213" t="s">
        <v>72</v>
      </c>
      <c r="B56" s="214" t="s">
        <v>13</v>
      </c>
      <c r="C56" s="215">
        <f>C57+C58+C59</f>
        <v>37175.495199999998</v>
      </c>
      <c r="D56" s="215">
        <f>D57+D58+D59</f>
        <v>37175.495199999998</v>
      </c>
      <c r="E56" s="215">
        <f>E57+E58+E59</f>
        <v>37175.495199999998</v>
      </c>
      <c r="F56" s="216">
        <f>F57+F58+F59</f>
        <v>37175.495199999998</v>
      </c>
      <c r="G56" s="216">
        <f t="shared" ref="G56:AG56" si="26">G57+G58+G59</f>
        <v>37175.495199999998</v>
      </c>
      <c r="H56" s="216">
        <f t="shared" si="26"/>
        <v>37175.495199999998</v>
      </c>
      <c r="I56" s="216">
        <f t="shared" si="26"/>
        <v>37175.495199999998</v>
      </c>
      <c r="J56" s="216">
        <f t="shared" si="26"/>
        <v>37175.495199999998</v>
      </c>
      <c r="K56" s="216">
        <f t="shared" si="26"/>
        <v>37175.495199999998</v>
      </c>
      <c r="L56" s="216">
        <f t="shared" si="26"/>
        <v>37175.495199999998</v>
      </c>
      <c r="M56" s="216">
        <f t="shared" si="26"/>
        <v>37175.495199999998</v>
      </c>
      <c r="N56" s="216">
        <f t="shared" si="26"/>
        <v>37175.495199999998</v>
      </c>
      <c r="O56" s="216">
        <f t="shared" si="26"/>
        <v>37175.495199999998</v>
      </c>
      <c r="P56" s="216">
        <f t="shared" si="26"/>
        <v>37175.495199999998</v>
      </c>
      <c r="Q56" s="216">
        <f t="shared" si="26"/>
        <v>37175.495199999998</v>
      </c>
      <c r="R56" s="216">
        <f t="shared" si="26"/>
        <v>37175.495199999998</v>
      </c>
      <c r="S56" s="216">
        <f t="shared" si="26"/>
        <v>37175.495199999998</v>
      </c>
      <c r="T56" s="216">
        <f t="shared" si="26"/>
        <v>37175.495199999998</v>
      </c>
      <c r="U56" s="216">
        <f t="shared" si="26"/>
        <v>37175.495199999998</v>
      </c>
      <c r="V56" s="216">
        <f t="shared" si="26"/>
        <v>37175.495199999998</v>
      </c>
      <c r="W56" s="216">
        <f t="shared" si="26"/>
        <v>37175.495199999998</v>
      </c>
      <c r="X56" s="216">
        <f t="shared" si="26"/>
        <v>37175.495199999998</v>
      </c>
      <c r="Y56" s="216">
        <f t="shared" si="26"/>
        <v>37175.495199999998</v>
      </c>
      <c r="Z56" s="216">
        <f t="shared" si="26"/>
        <v>37175.495199999998</v>
      </c>
      <c r="AA56" s="216">
        <f t="shared" si="26"/>
        <v>37175.495199999998</v>
      </c>
      <c r="AB56" s="216">
        <f t="shared" si="26"/>
        <v>37175.495199999998</v>
      </c>
      <c r="AC56" s="216">
        <f t="shared" si="26"/>
        <v>37175.495199999998</v>
      </c>
      <c r="AD56" s="216">
        <f t="shared" si="26"/>
        <v>37175.495199999998</v>
      </c>
      <c r="AE56" s="216">
        <f t="shared" si="26"/>
        <v>37175.495199999998</v>
      </c>
      <c r="AF56" s="216">
        <f t="shared" si="26"/>
        <v>37175.495199999998</v>
      </c>
      <c r="AG56" s="216">
        <f t="shared" si="26"/>
        <v>37175.495199999998</v>
      </c>
      <c r="AH56" s="216">
        <f>AH57+AH58+AH59</f>
        <v>37175.495199999998</v>
      </c>
    </row>
    <row r="57" spans="1:34" s="140" customFormat="1" ht="13.5" x14ac:dyDescent="0.25">
      <c r="A57" s="217" t="s">
        <v>73</v>
      </c>
      <c r="B57" s="212" t="s">
        <v>13</v>
      </c>
      <c r="C57" s="218">
        <f t="shared" ref="C57:AG57" si="27">C49*C50*C51</f>
        <v>28319.065199999997</v>
      </c>
      <c r="D57" s="218">
        <f>D49*D50*D51</f>
        <v>28319.065199999997</v>
      </c>
      <c r="E57" s="218">
        <f t="shared" si="27"/>
        <v>28319.065199999997</v>
      </c>
      <c r="F57" s="218">
        <f t="shared" si="27"/>
        <v>28319.065199999997</v>
      </c>
      <c r="G57" s="218">
        <f t="shared" si="27"/>
        <v>28319.065199999997</v>
      </c>
      <c r="H57" s="218">
        <f t="shared" si="27"/>
        <v>28319.065199999997</v>
      </c>
      <c r="I57" s="218">
        <f t="shared" si="27"/>
        <v>28319.065199999997</v>
      </c>
      <c r="J57" s="218">
        <f t="shared" si="27"/>
        <v>28319.065199999997</v>
      </c>
      <c r="K57" s="218">
        <f t="shared" si="27"/>
        <v>28319.065199999997</v>
      </c>
      <c r="L57" s="218">
        <f t="shared" si="27"/>
        <v>28319.065199999997</v>
      </c>
      <c r="M57" s="218">
        <f t="shared" si="27"/>
        <v>28319.065199999997</v>
      </c>
      <c r="N57" s="218">
        <f t="shared" si="27"/>
        <v>28319.065199999997</v>
      </c>
      <c r="O57" s="218">
        <f t="shared" si="27"/>
        <v>28319.065199999997</v>
      </c>
      <c r="P57" s="218">
        <f t="shared" si="27"/>
        <v>28319.065199999997</v>
      </c>
      <c r="Q57" s="218">
        <f t="shared" si="27"/>
        <v>28319.065199999997</v>
      </c>
      <c r="R57" s="218">
        <f t="shared" si="27"/>
        <v>28319.065199999997</v>
      </c>
      <c r="S57" s="218">
        <f t="shared" si="27"/>
        <v>28319.065199999997</v>
      </c>
      <c r="T57" s="218">
        <f t="shared" si="27"/>
        <v>28319.065199999997</v>
      </c>
      <c r="U57" s="218">
        <f t="shared" si="27"/>
        <v>28319.065199999997</v>
      </c>
      <c r="V57" s="218">
        <f t="shared" si="27"/>
        <v>28319.065199999997</v>
      </c>
      <c r="W57" s="218">
        <f t="shared" si="27"/>
        <v>28319.065199999997</v>
      </c>
      <c r="X57" s="218">
        <f t="shared" si="27"/>
        <v>28319.065199999997</v>
      </c>
      <c r="Y57" s="218">
        <f t="shared" si="27"/>
        <v>28319.065199999997</v>
      </c>
      <c r="Z57" s="218">
        <f t="shared" si="27"/>
        <v>28319.065199999997</v>
      </c>
      <c r="AA57" s="218">
        <f t="shared" si="27"/>
        <v>28319.065199999997</v>
      </c>
      <c r="AB57" s="218">
        <f t="shared" si="27"/>
        <v>28319.065199999997</v>
      </c>
      <c r="AC57" s="218">
        <f t="shared" si="27"/>
        <v>28319.065199999997</v>
      </c>
      <c r="AD57" s="218">
        <f t="shared" si="27"/>
        <v>28319.065199999997</v>
      </c>
      <c r="AE57" s="218">
        <f t="shared" si="27"/>
        <v>28319.065199999997</v>
      </c>
      <c r="AF57" s="218">
        <f t="shared" si="27"/>
        <v>28319.065199999997</v>
      </c>
      <c r="AG57" s="218">
        <f t="shared" si="27"/>
        <v>28319.065199999997</v>
      </c>
      <c r="AH57" s="218">
        <f>AH49*AH50*AH51</f>
        <v>28319.065199999997</v>
      </c>
    </row>
    <row r="58" spans="1:34" s="140" customFormat="1" ht="13.5" x14ac:dyDescent="0.25">
      <c r="A58" s="217" t="s">
        <v>364</v>
      </c>
      <c r="B58" s="212" t="s">
        <v>13</v>
      </c>
      <c r="C58" s="218">
        <f>C52*C53</f>
        <v>3568.2400000000002</v>
      </c>
      <c r="D58" s="218">
        <f>D52*D53</f>
        <v>3568.2400000000002</v>
      </c>
      <c r="E58" s="218">
        <f>E52*E53</f>
        <v>3568.2400000000002</v>
      </c>
      <c r="F58" s="219">
        <f>F52*F53</f>
        <v>3568.2400000000002</v>
      </c>
      <c r="G58" s="219">
        <f t="shared" ref="G58:AG58" si="28">G52*G53</f>
        <v>3568.2400000000002</v>
      </c>
      <c r="H58" s="219">
        <f t="shared" si="28"/>
        <v>3568.2400000000002</v>
      </c>
      <c r="I58" s="219">
        <f t="shared" si="28"/>
        <v>3568.2400000000002</v>
      </c>
      <c r="J58" s="219">
        <f t="shared" si="28"/>
        <v>3568.2400000000002</v>
      </c>
      <c r="K58" s="219">
        <f t="shared" si="28"/>
        <v>3568.2400000000002</v>
      </c>
      <c r="L58" s="219">
        <f t="shared" si="28"/>
        <v>3568.2400000000002</v>
      </c>
      <c r="M58" s="219">
        <f t="shared" si="28"/>
        <v>3568.2400000000002</v>
      </c>
      <c r="N58" s="219">
        <f t="shared" si="28"/>
        <v>3568.2400000000002</v>
      </c>
      <c r="O58" s="219">
        <f t="shared" si="28"/>
        <v>3568.2400000000002</v>
      </c>
      <c r="P58" s="219">
        <f t="shared" si="28"/>
        <v>3568.2400000000002</v>
      </c>
      <c r="Q58" s="219">
        <f t="shared" si="28"/>
        <v>3568.2400000000002</v>
      </c>
      <c r="R58" s="219">
        <f t="shared" si="28"/>
        <v>3568.2400000000002</v>
      </c>
      <c r="S58" s="219">
        <f t="shared" si="28"/>
        <v>3568.2400000000002</v>
      </c>
      <c r="T58" s="219">
        <f t="shared" si="28"/>
        <v>3568.2400000000002</v>
      </c>
      <c r="U58" s="219">
        <f t="shared" si="28"/>
        <v>3568.2400000000002</v>
      </c>
      <c r="V58" s="219">
        <f t="shared" si="28"/>
        <v>3568.2400000000002</v>
      </c>
      <c r="W58" s="219">
        <f t="shared" si="28"/>
        <v>3568.2400000000002</v>
      </c>
      <c r="X58" s="219">
        <f t="shared" si="28"/>
        <v>3568.2400000000002</v>
      </c>
      <c r="Y58" s="219">
        <f t="shared" si="28"/>
        <v>3568.2400000000002</v>
      </c>
      <c r="Z58" s="219">
        <f t="shared" si="28"/>
        <v>3568.2400000000002</v>
      </c>
      <c r="AA58" s="219">
        <f t="shared" si="28"/>
        <v>3568.2400000000002</v>
      </c>
      <c r="AB58" s="219">
        <f t="shared" si="28"/>
        <v>3568.2400000000002</v>
      </c>
      <c r="AC58" s="219">
        <f t="shared" si="28"/>
        <v>3568.2400000000002</v>
      </c>
      <c r="AD58" s="219">
        <f t="shared" si="28"/>
        <v>3568.2400000000002</v>
      </c>
      <c r="AE58" s="219">
        <f t="shared" si="28"/>
        <v>3568.2400000000002</v>
      </c>
      <c r="AF58" s="219">
        <f t="shared" si="28"/>
        <v>3568.2400000000002</v>
      </c>
      <c r="AG58" s="219">
        <f t="shared" si="28"/>
        <v>3568.2400000000002</v>
      </c>
      <c r="AH58" s="219">
        <f>AH52*AH53</f>
        <v>3568.2400000000002</v>
      </c>
    </row>
    <row r="59" spans="1:34" s="140" customFormat="1" ht="13.5" x14ac:dyDescent="0.25">
      <c r="A59" s="217" t="s">
        <v>365</v>
      </c>
      <c r="B59" s="212" t="s">
        <v>13</v>
      </c>
      <c r="C59" s="218">
        <f>C54*C55</f>
        <v>5288.1900000000005</v>
      </c>
      <c r="D59" s="218">
        <f>D54*D55</f>
        <v>5288.1900000000005</v>
      </c>
      <c r="E59" s="218">
        <f>E54*E55</f>
        <v>5288.1900000000005</v>
      </c>
      <c r="F59" s="219">
        <f>F54*F55</f>
        <v>5288.1900000000005</v>
      </c>
      <c r="G59" s="219">
        <f t="shared" ref="G59:AG59" si="29">G54*G55</f>
        <v>5288.1900000000005</v>
      </c>
      <c r="H59" s="219">
        <f t="shared" si="29"/>
        <v>5288.1900000000005</v>
      </c>
      <c r="I59" s="219">
        <f t="shared" si="29"/>
        <v>5288.1900000000005</v>
      </c>
      <c r="J59" s="219">
        <f t="shared" si="29"/>
        <v>5288.1900000000005</v>
      </c>
      <c r="K59" s="219">
        <f t="shared" si="29"/>
        <v>5288.1900000000005</v>
      </c>
      <c r="L59" s="219">
        <f t="shared" si="29"/>
        <v>5288.1900000000005</v>
      </c>
      <c r="M59" s="219">
        <f t="shared" si="29"/>
        <v>5288.1900000000005</v>
      </c>
      <c r="N59" s="219">
        <f t="shared" si="29"/>
        <v>5288.1900000000005</v>
      </c>
      <c r="O59" s="219">
        <f t="shared" si="29"/>
        <v>5288.1900000000005</v>
      </c>
      <c r="P59" s="219">
        <f t="shared" si="29"/>
        <v>5288.1900000000005</v>
      </c>
      <c r="Q59" s="219">
        <f t="shared" si="29"/>
        <v>5288.1900000000005</v>
      </c>
      <c r="R59" s="219">
        <f t="shared" si="29"/>
        <v>5288.1900000000005</v>
      </c>
      <c r="S59" s="219">
        <f t="shared" si="29"/>
        <v>5288.1900000000005</v>
      </c>
      <c r="T59" s="219">
        <f t="shared" si="29"/>
        <v>5288.1900000000005</v>
      </c>
      <c r="U59" s="219">
        <f t="shared" si="29"/>
        <v>5288.1900000000005</v>
      </c>
      <c r="V59" s="219">
        <f t="shared" si="29"/>
        <v>5288.1900000000005</v>
      </c>
      <c r="W59" s="219">
        <f t="shared" si="29"/>
        <v>5288.1900000000005</v>
      </c>
      <c r="X59" s="219">
        <f t="shared" si="29"/>
        <v>5288.1900000000005</v>
      </c>
      <c r="Y59" s="219">
        <f t="shared" si="29"/>
        <v>5288.1900000000005</v>
      </c>
      <c r="Z59" s="219">
        <f t="shared" si="29"/>
        <v>5288.1900000000005</v>
      </c>
      <c r="AA59" s="219">
        <f t="shared" si="29"/>
        <v>5288.1900000000005</v>
      </c>
      <c r="AB59" s="219">
        <f t="shared" si="29"/>
        <v>5288.1900000000005</v>
      </c>
      <c r="AC59" s="219">
        <f t="shared" si="29"/>
        <v>5288.1900000000005</v>
      </c>
      <c r="AD59" s="219">
        <f t="shared" si="29"/>
        <v>5288.1900000000005</v>
      </c>
      <c r="AE59" s="219">
        <f t="shared" si="29"/>
        <v>5288.1900000000005</v>
      </c>
      <c r="AF59" s="219">
        <f t="shared" si="29"/>
        <v>5288.1900000000005</v>
      </c>
      <c r="AG59" s="219">
        <f t="shared" si="29"/>
        <v>5288.1900000000005</v>
      </c>
      <c r="AH59" s="219">
        <f>AH54*AH55</f>
        <v>5288.1900000000005</v>
      </c>
    </row>
    <row r="60" spans="1:34" s="140" customFormat="1" ht="13.5" x14ac:dyDescent="0.25">
      <c r="A60" s="213" t="s">
        <v>76</v>
      </c>
      <c r="B60" s="214" t="s">
        <v>77</v>
      </c>
      <c r="C60" s="220">
        <f>C61+C62+C63</f>
        <v>13569055.747999998</v>
      </c>
      <c r="D60" s="220">
        <f>D61+D62+D63</f>
        <v>13569055.747999998</v>
      </c>
      <c r="E60" s="220">
        <f>E61+E62+E63</f>
        <v>13569055.747999998</v>
      </c>
      <c r="F60" s="221">
        <f>F61+F62+F63</f>
        <v>13569055.747999998</v>
      </c>
      <c r="G60" s="221">
        <f t="shared" ref="G60:AG60" si="30">G61+G62+G63</f>
        <v>13569055.747999998</v>
      </c>
      <c r="H60" s="221">
        <f t="shared" si="30"/>
        <v>13569055.747999998</v>
      </c>
      <c r="I60" s="221">
        <f t="shared" si="30"/>
        <v>13569055.747999998</v>
      </c>
      <c r="J60" s="221">
        <f t="shared" si="30"/>
        <v>13569055.747999998</v>
      </c>
      <c r="K60" s="221">
        <f t="shared" si="30"/>
        <v>13569055.747999998</v>
      </c>
      <c r="L60" s="221">
        <f t="shared" si="30"/>
        <v>13569055.747999998</v>
      </c>
      <c r="M60" s="221">
        <f t="shared" si="30"/>
        <v>13569055.747999998</v>
      </c>
      <c r="N60" s="221">
        <f t="shared" si="30"/>
        <v>13569055.747999998</v>
      </c>
      <c r="O60" s="221">
        <f t="shared" si="30"/>
        <v>13569055.747999998</v>
      </c>
      <c r="P60" s="221">
        <f t="shared" si="30"/>
        <v>13569055.747999998</v>
      </c>
      <c r="Q60" s="221">
        <f t="shared" si="30"/>
        <v>13569055.747999998</v>
      </c>
      <c r="R60" s="221">
        <f t="shared" si="30"/>
        <v>13569055.747999998</v>
      </c>
      <c r="S60" s="221">
        <f t="shared" si="30"/>
        <v>13569055.747999998</v>
      </c>
      <c r="T60" s="221">
        <f t="shared" si="30"/>
        <v>13569055.747999998</v>
      </c>
      <c r="U60" s="221">
        <f t="shared" si="30"/>
        <v>13569055.747999998</v>
      </c>
      <c r="V60" s="221">
        <f t="shared" si="30"/>
        <v>13569055.747999998</v>
      </c>
      <c r="W60" s="221">
        <f t="shared" si="30"/>
        <v>13569055.747999998</v>
      </c>
      <c r="X60" s="221">
        <f t="shared" si="30"/>
        <v>13569055.747999998</v>
      </c>
      <c r="Y60" s="221">
        <f t="shared" si="30"/>
        <v>13569055.747999998</v>
      </c>
      <c r="Z60" s="221">
        <f t="shared" si="30"/>
        <v>13569055.747999998</v>
      </c>
      <c r="AA60" s="221">
        <f t="shared" si="30"/>
        <v>13569055.747999998</v>
      </c>
      <c r="AB60" s="221">
        <f t="shared" si="30"/>
        <v>13569055.747999998</v>
      </c>
      <c r="AC60" s="221">
        <f t="shared" si="30"/>
        <v>13569055.747999998</v>
      </c>
      <c r="AD60" s="221">
        <f t="shared" si="30"/>
        <v>13569055.747999998</v>
      </c>
      <c r="AE60" s="221">
        <f t="shared" si="30"/>
        <v>13569055.747999998</v>
      </c>
      <c r="AF60" s="221">
        <f t="shared" si="30"/>
        <v>13569055.747999998</v>
      </c>
      <c r="AG60" s="221">
        <f t="shared" si="30"/>
        <v>13569055.747999998</v>
      </c>
      <c r="AH60" s="221">
        <f>AH61+AH62+AH63</f>
        <v>13569055.747999998</v>
      </c>
    </row>
    <row r="61" spans="1:34" s="140" customFormat="1" ht="13.5" x14ac:dyDescent="0.25">
      <c r="A61" s="217" t="s">
        <v>73</v>
      </c>
      <c r="B61" s="212" t="s">
        <v>77</v>
      </c>
      <c r="C61" s="222">
        <f>C57*$B$64</f>
        <v>10336458.797999999</v>
      </c>
      <c r="D61" s="222">
        <f>D57*$B$64</f>
        <v>10336458.797999999</v>
      </c>
      <c r="E61" s="222">
        <f t="shared" ref="D61:AG63" si="31">E57*$B$64</f>
        <v>10336458.797999999</v>
      </c>
      <c r="F61" s="222">
        <f t="shared" si="31"/>
        <v>10336458.797999999</v>
      </c>
      <c r="G61" s="222">
        <f t="shared" si="31"/>
        <v>10336458.797999999</v>
      </c>
      <c r="H61" s="222">
        <f t="shared" si="31"/>
        <v>10336458.797999999</v>
      </c>
      <c r="I61" s="222">
        <f t="shared" si="31"/>
        <v>10336458.797999999</v>
      </c>
      <c r="J61" s="222">
        <f t="shared" si="31"/>
        <v>10336458.797999999</v>
      </c>
      <c r="K61" s="222">
        <f t="shared" si="31"/>
        <v>10336458.797999999</v>
      </c>
      <c r="L61" s="222">
        <f t="shared" si="31"/>
        <v>10336458.797999999</v>
      </c>
      <c r="M61" s="222">
        <f t="shared" si="31"/>
        <v>10336458.797999999</v>
      </c>
      <c r="N61" s="222">
        <f t="shared" si="31"/>
        <v>10336458.797999999</v>
      </c>
      <c r="O61" s="222">
        <f t="shared" si="31"/>
        <v>10336458.797999999</v>
      </c>
      <c r="P61" s="222">
        <f t="shared" si="31"/>
        <v>10336458.797999999</v>
      </c>
      <c r="Q61" s="222">
        <f t="shared" si="31"/>
        <v>10336458.797999999</v>
      </c>
      <c r="R61" s="222">
        <f t="shared" si="31"/>
        <v>10336458.797999999</v>
      </c>
      <c r="S61" s="222">
        <f t="shared" si="31"/>
        <v>10336458.797999999</v>
      </c>
      <c r="T61" s="222">
        <f t="shared" si="31"/>
        <v>10336458.797999999</v>
      </c>
      <c r="U61" s="222">
        <f t="shared" si="31"/>
        <v>10336458.797999999</v>
      </c>
      <c r="V61" s="222">
        <f t="shared" si="31"/>
        <v>10336458.797999999</v>
      </c>
      <c r="W61" s="222">
        <f t="shared" si="31"/>
        <v>10336458.797999999</v>
      </c>
      <c r="X61" s="222">
        <f t="shared" si="31"/>
        <v>10336458.797999999</v>
      </c>
      <c r="Y61" s="222">
        <f t="shared" si="31"/>
        <v>10336458.797999999</v>
      </c>
      <c r="Z61" s="222">
        <f t="shared" si="31"/>
        <v>10336458.797999999</v>
      </c>
      <c r="AA61" s="222">
        <f t="shared" si="31"/>
        <v>10336458.797999999</v>
      </c>
      <c r="AB61" s="222">
        <f t="shared" si="31"/>
        <v>10336458.797999999</v>
      </c>
      <c r="AC61" s="222">
        <f t="shared" si="31"/>
        <v>10336458.797999999</v>
      </c>
      <c r="AD61" s="222">
        <f t="shared" si="31"/>
        <v>10336458.797999999</v>
      </c>
      <c r="AE61" s="222">
        <f t="shared" si="31"/>
        <v>10336458.797999999</v>
      </c>
      <c r="AF61" s="222">
        <f t="shared" si="31"/>
        <v>10336458.797999999</v>
      </c>
      <c r="AG61" s="222">
        <f t="shared" si="31"/>
        <v>10336458.797999999</v>
      </c>
      <c r="AH61" s="222">
        <f>AH57*$B$64</f>
        <v>10336458.797999999</v>
      </c>
    </row>
    <row r="62" spans="1:34" s="140" customFormat="1" ht="13.5" x14ac:dyDescent="0.25">
      <c r="A62" s="217" t="s">
        <v>364</v>
      </c>
      <c r="B62" s="212" t="s">
        <v>77</v>
      </c>
      <c r="C62" s="222">
        <f t="shared" ref="C62:R63" si="32">C58*$B$64</f>
        <v>1302407.6000000001</v>
      </c>
      <c r="D62" s="222">
        <f t="shared" si="32"/>
        <v>1302407.6000000001</v>
      </c>
      <c r="E62" s="222">
        <f t="shared" si="32"/>
        <v>1302407.6000000001</v>
      </c>
      <c r="F62" s="222">
        <f t="shared" si="32"/>
        <v>1302407.6000000001</v>
      </c>
      <c r="G62" s="222">
        <f t="shared" si="32"/>
        <v>1302407.6000000001</v>
      </c>
      <c r="H62" s="222">
        <f t="shared" si="32"/>
        <v>1302407.6000000001</v>
      </c>
      <c r="I62" s="222">
        <f t="shared" si="32"/>
        <v>1302407.6000000001</v>
      </c>
      <c r="J62" s="222">
        <f t="shared" si="32"/>
        <v>1302407.6000000001</v>
      </c>
      <c r="K62" s="222">
        <f t="shared" si="32"/>
        <v>1302407.6000000001</v>
      </c>
      <c r="L62" s="222">
        <f t="shared" si="32"/>
        <v>1302407.6000000001</v>
      </c>
      <c r="M62" s="222">
        <f t="shared" si="32"/>
        <v>1302407.6000000001</v>
      </c>
      <c r="N62" s="222">
        <f t="shared" si="32"/>
        <v>1302407.6000000001</v>
      </c>
      <c r="O62" s="222">
        <f t="shared" si="32"/>
        <v>1302407.6000000001</v>
      </c>
      <c r="P62" s="222">
        <f t="shared" si="32"/>
        <v>1302407.6000000001</v>
      </c>
      <c r="Q62" s="222">
        <f t="shared" si="32"/>
        <v>1302407.6000000001</v>
      </c>
      <c r="R62" s="222">
        <f t="shared" si="32"/>
        <v>1302407.6000000001</v>
      </c>
      <c r="S62" s="222">
        <f t="shared" si="31"/>
        <v>1302407.6000000001</v>
      </c>
      <c r="T62" s="222">
        <f t="shared" si="31"/>
        <v>1302407.6000000001</v>
      </c>
      <c r="U62" s="222">
        <f t="shared" si="31"/>
        <v>1302407.6000000001</v>
      </c>
      <c r="V62" s="222">
        <f t="shared" si="31"/>
        <v>1302407.6000000001</v>
      </c>
      <c r="W62" s="222">
        <f t="shared" si="31"/>
        <v>1302407.6000000001</v>
      </c>
      <c r="X62" s="222">
        <f t="shared" si="31"/>
        <v>1302407.6000000001</v>
      </c>
      <c r="Y62" s="222">
        <f t="shared" si="31"/>
        <v>1302407.6000000001</v>
      </c>
      <c r="Z62" s="222">
        <f t="shared" si="31"/>
        <v>1302407.6000000001</v>
      </c>
      <c r="AA62" s="222">
        <f t="shared" si="31"/>
        <v>1302407.6000000001</v>
      </c>
      <c r="AB62" s="222">
        <f t="shared" si="31"/>
        <v>1302407.6000000001</v>
      </c>
      <c r="AC62" s="222">
        <f t="shared" si="31"/>
        <v>1302407.6000000001</v>
      </c>
      <c r="AD62" s="222">
        <f t="shared" si="31"/>
        <v>1302407.6000000001</v>
      </c>
      <c r="AE62" s="222">
        <f t="shared" si="31"/>
        <v>1302407.6000000001</v>
      </c>
      <c r="AF62" s="222">
        <f t="shared" si="31"/>
        <v>1302407.6000000001</v>
      </c>
      <c r="AG62" s="222">
        <f t="shared" si="31"/>
        <v>1302407.6000000001</v>
      </c>
      <c r="AH62" s="222">
        <f>AH58*$B$64</f>
        <v>1302407.6000000001</v>
      </c>
    </row>
    <row r="63" spans="1:34" s="140" customFormat="1" ht="13.5" x14ac:dyDescent="0.25">
      <c r="A63" s="217" t="s">
        <v>365</v>
      </c>
      <c r="B63" s="212" t="s">
        <v>77</v>
      </c>
      <c r="C63" s="222">
        <f t="shared" si="32"/>
        <v>1930189.35</v>
      </c>
      <c r="D63" s="222">
        <f t="shared" si="31"/>
        <v>1930189.35</v>
      </c>
      <c r="E63" s="222">
        <f t="shared" si="31"/>
        <v>1930189.35</v>
      </c>
      <c r="F63" s="222">
        <f t="shared" si="31"/>
        <v>1930189.35</v>
      </c>
      <c r="G63" s="222">
        <f t="shared" si="31"/>
        <v>1930189.35</v>
      </c>
      <c r="H63" s="222">
        <f t="shared" si="31"/>
        <v>1930189.35</v>
      </c>
      <c r="I63" s="222">
        <f t="shared" si="31"/>
        <v>1930189.35</v>
      </c>
      <c r="J63" s="222">
        <f t="shared" si="31"/>
        <v>1930189.35</v>
      </c>
      <c r="K63" s="222">
        <f t="shared" si="31"/>
        <v>1930189.35</v>
      </c>
      <c r="L63" s="222">
        <f t="shared" si="31"/>
        <v>1930189.35</v>
      </c>
      <c r="M63" s="222">
        <f t="shared" si="31"/>
        <v>1930189.35</v>
      </c>
      <c r="N63" s="222">
        <f t="shared" si="31"/>
        <v>1930189.35</v>
      </c>
      <c r="O63" s="222">
        <f t="shared" si="31"/>
        <v>1930189.35</v>
      </c>
      <c r="P63" s="222">
        <f t="shared" si="31"/>
        <v>1930189.35</v>
      </c>
      <c r="Q63" s="222">
        <f t="shared" si="31"/>
        <v>1930189.35</v>
      </c>
      <c r="R63" s="222">
        <f t="shared" si="31"/>
        <v>1930189.35</v>
      </c>
      <c r="S63" s="222">
        <f t="shared" si="31"/>
        <v>1930189.35</v>
      </c>
      <c r="T63" s="222">
        <f t="shared" si="31"/>
        <v>1930189.35</v>
      </c>
      <c r="U63" s="222">
        <f t="shared" si="31"/>
        <v>1930189.35</v>
      </c>
      <c r="V63" s="222">
        <f t="shared" si="31"/>
        <v>1930189.35</v>
      </c>
      <c r="W63" s="222">
        <f t="shared" si="31"/>
        <v>1930189.35</v>
      </c>
      <c r="X63" s="222">
        <f t="shared" si="31"/>
        <v>1930189.35</v>
      </c>
      <c r="Y63" s="222">
        <f t="shared" si="31"/>
        <v>1930189.35</v>
      </c>
      <c r="Z63" s="222">
        <f t="shared" si="31"/>
        <v>1930189.35</v>
      </c>
      <c r="AA63" s="222">
        <f t="shared" si="31"/>
        <v>1930189.35</v>
      </c>
      <c r="AB63" s="222">
        <f t="shared" si="31"/>
        <v>1930189.35</v>
      </c>
      <c r="AC63" s="222">
        <f t="shared" si="31"/>
        <v>1930189.35</v>
      </c>
      <c r="AD63" s="222">
        <f t="shared" si="31"/>
        <v>1930189.35</v>
      </c>
      <c r="AE63" s="222">
        <f t="shared" si="31"/>
        <v>1930189.35</v>
      </c>
      <c r="AF63" s="222">
        <f t="shared" si="31"/>
        <v>1930189.35</v>
      </c>
      <c r="AG63" s="222">
        <f t="shared" si="31"/>
        <v>1930189.35</v>
      </c>
      <c r="AH63" s="222">
        <f>AH59*$B$64</f>
        <v>1930189.35</v>
      </c>
    </row>
    <row r="64" spans="1:34" s="140" customFormat="1" ht="13.5" x14ac:dyDescent="0.2">
      <c r="A64" s="148" t="s">
        <v>78</v>
      </c>
      <c r="B64" s="3">
        <v>365</v>
      </c>
    </row>
    <row r="65" spans="1:34" s="140" customFormat="1" ht="13.5" x14ac:dyDescent="0.2">
      <c r="A65" s="148" t="s">
        <v>79</v>
      </c>
      <c r="B65" s="3">
        <v>30</v>
      </c>
    </row>
    <row r="66" spans="1:34" hidden="1" x14ac:dyDescent="0.2"/>
    <row r="67" spans="1:34" ht="15.75" x14ac:dyDescent="0.2">
      <c r="A67" s="233" t="s">
        <v>402</v>
      </c>
    </row>
    <row r="68" spans="1:34" s="140" customFormat="1" ht="13.5" customHeight="1" x14ac:dyDescent="0.25">
      <c r="A68" s="17" t="s">
        <v>262</v>
      </c>
      <c r="B68" s="18" t="s">
        <v>2</v>
      </c>
      <c r="C68" s="18">
        <v>2013</v>
      </c>
      <c r="D68" s="18">
        <f t="shared" ref="D68:AH68" si="33">C68+1</f>
        <v>2014</v>
      </c>
      <c r="E68" s="18">
        <f t="shared" si="33"/>
        <v>2015</v>
      </c>
      <c r="F68" s="18">
        <f t="shared" si="33"/>
        <v>2016</v>
      </c>
      <c r="G68" s="18">
        <f t="shared" si="33"/>
        <v>2017</v>
      </c>
      <c r="H68" s="18">
        <f t="shared" si="33"/>
        <v>2018</v>
      </c>
      <c r="I68" s="18">
        <f t="shared" si="33"/>
        <v>2019</v>
      </c>
      <c r="J68" s="18">
        <f t="shared" si="33"/>
        <v>2020</v>
      </c>
      <c r="K68" s="18">
        <f t="shared" si="33"/>
        <v>2021</v>
      </c>
      <c r="L68" s="18">
        <f t="shared" si="33"/>
        <v>2022</v>
      </c>
      <c r="M68" s="18">
        <f t="shared" si="33"/>
        <v>2023</v>
      </c>
      <c r="N68" s="18">
        <f t="shared" si="33"/>
        <v>2024</v>
      </c>
      <c r="O68" s="18">
        <f t="shared" si="33"/>
        <v>2025</v>
      </c>
      <c r="P68" s="18">
        <f t="shared" si="33"/>
        <v>2026</v>
      </c>
      <c r="Q68" s="18">
        <f t="shared" si="33"/>
        <v>2027</v>
      </c>
      <c r="R68" s="18">
        <f t="shared" si="33"/>
        <v>2028</v>
      </c>
      <c r="S68" s="18">
        <f t="shared" si="33"/>
        <v>2029</v>
      </c>
      <c r="T68" s="18">
        <f t="shared" si="33"/>
        <v>2030</v>
      </c>
      <c r="U68" s="18">
        <f t="shared" si="33"/>
        <v>2031</v>
      </c>
      <c r="V68" s="18">
        <f t="shared" si="33"/>
        <v>2032</v>
      </c>
      <c r="W68" s="18">
        <f t="shared" si="33"/>
        <v>2033</v>
      </c>
      <c r="X68" s="18">
        <f t="shared" si="33"/>
        <v>2034</v>
      </c>
      <c r="Y68" s="18">
        <f t="shared" si="33"/>
        <v>2035</v>
      </c>
      <c r="Z68" s="18">
        <f t="shared" si="33"/>
        <v>2036</v>
      </c>
      <c r="AA68" s="18">
        <f t="shared" si="33"/>
        <v>2037</v>
      </c>
      <c r="AB68" s="18">
        <f t="shared" si="33"/>
        <v>2038</v>
      </c>
      <c r="AC68" s="18">
        <f t="shared" si="33"/>
        <v>2039</v>
      </c>
      <c r="AD68" s="18">
        <f t="shared" si="33"/>
        <v>2040</v>
      </c>
      <c r="AE68" s="18">
        <f t="shared" si="33"/>
        <v>2041</v>
      </c>
      <c r="AF68" s="18">
        <f t="shared" si="33"/>
        <v>2042</v>
      </c>
      <c r="AG68" s="18">
        <f t="shared" si="33"/>
        <v>2043</v>
      </c>
      <c r="AH68" s="18">
        <f t="shared" si="33"/>
        <v>2044</v>
      </c>
    </row>
    <row r="69" spans="1:34" s="140" customFormat="1" ht="27" x14ac:dyDescent="0.25">
      <c r="A69" s="13" t="s">
        <v>328</v>
      </c>
      <c r="B69" s="2" t="s">
        <v>9</v>
      </c>
      <c r="C69" s="14">
        <f>'Założenia-dane wejściowe '!D42</f>
        <v>54237</v>
      </c>
      <c r="D69" s="14">
        <f t="shared" ref="D69:AH69" si="34">C69</f>
        <v>54237</v>
      </c>
      <c r="E69" s="14">
        <f t="shared" si="34"/>
        <v>54237</v>
      </c>
      <c r="F69" s="14">
        <f t="shared" si="34"/>
        <v>54237</v>
      </c>
      <c r="G69" s="14">
        <f t="shared" si="34"/>
        <v>54237</v>
      </c>
      <c r="H69" s="14">
        <f t="shared" si="34"/>
        <v>54237</v>
      </c>
      <c r="I69" s="14">
        <f t="shared" si="34"/>
        <v>54237</v>
      </c>
      <c r="J69" s="14">
        <f t="shared" si="34"/>
        <v>54237</v>
      </c>
      <c r="K69" s="14">
        <f t="shared" si="34"/>
        <v>54237</v>
      </c>
      <c r="L69" s="14">
        <f t="shared" si="34"/>
        <v>54237</v>
      </c>
      <c r="M69" s="14">
        <f t="shared" si="34"/>
        <v>54237</v>
      </c>
      <c r="N69" s="14">
        <f t="shared" si="34"/>
        <v>54237</v>
      </c>
      <c r="O69" s="14">
        <f t="shared" si="34"/>
        <v>54237</v>
      </c>
      <c r="P69" s="14">
        <f t="shared" si="34"/>
        <v>54237</v>
      </c>
      <c r="Q69" s="14">
        <f t="shared" si="34"/>
        <v>54237</v>
      </c>
      <c r="R69" s="14">
        <f t="shared" si="34"/>
        <v>54237</v>
      </c>
      <c r="S69" s="14">
        <f t="shared" si="34"/>
        <v>54237</v>
      </c>
      <c r="T69" s="14">
        <f t="shared" si="34"/>
        <v>54237</v>
      </c>
      <c r="U69" s="14">
        <f t="shared" si="34"/>
        <v>54237</v>
      </c>
      <c r="V69" s="14">
        <f t="shared" si="34"/>
        <v>54237</v>
      </c>
      <c r="W69" s="14">
        <f t="shared" si="34"/>
        <v>54237</v>
      </c>
      <c r="X69" s="14">
        <f t="shared" si="34"/>
        <v>54237</v>
      </c>
      <c r="Y69" s="14">
        <f t="shared" si="34"/>
        <v>54237</v>
      </c>
      <c r="Z69" s="14">
        <f t="shared" si="34"/>
        <v>54237</v>
      </c>
      <c r="AA69" s="14">
        <f t="shared" si="34"/>
        <v>54237</v>
      </c>
      <c r="AB69" s="14">
        <f t="shared" si="34"/>
        <v>54237</v>
      </c>
      <c r="AC69" s="14">
        <f t="shared" si="34"/>
        <v>54237</v>
      </c>
      <c r="AD69" s="14">
        <f t="shared" si="34"/>
        <v>54237</v>
      </c>
      <c r="AE69" s="14">
        <f t="shared" si="34"/>
        <v>54237</v>
      </c>
      <c r="AF69" s="14">
        <f t="shared" si="34"/>
        <v>54237</v>
      </c>
      <c r="AG69" s="14">
        <f t="shared" si="34"/>
        <v>54237</v>
      </c>
      <c r="AH69" s="14">
        <f t="shared" si="34"/>
        <v>54237</v>
      </c>
    </row>
    <row r="70" spans="1:34" s="140" customFormat="1" ht="27" x14ac:dyDescent="0.25">
      <c r="A70" s="16" t="s">
        <v>274</v>
      </c>
      <c r="B70" s="2" t="s">
        <v>21</v>
      </c>
      <c r="C70" s="442">
        <f>'Założenia-dane wejściowe '!D43</f>
        <v>8.5499999999999993E-2</v>
      </c>
      <c r="D70" s="442">
        <f t="shared" ref="D70:AH70" si="35">C70</f>
        <v>8.5499999999999993E-2</v>
      </c>
      <c r="E70" s="442">
        <f t="shared" si="35"/>
        <v>8.5499999999999993E-2</v>
      </c>
      <c r="F70" s="442">
        <f t="shared" si="35"/>
        <v>8.5499999999999993E-2</v>
      </c>
      <c r="G70" s="442">
        <f t="shared" si="35"/>
        <v>8.5499999999999993E-2</v>
      </c>
      <c r="H70" s="442">
        <f t="shared" si="35"/>
        <v>8.5499999999999993E-2</v>
      </c>
      <c r="I70" s="442">
        <f t="shared" si="35"/>
        <v>8.5499999999999993E-2</v>
      </c>
      <c r="J70" s="442">
        <f t="shared" si="35"/>
        <v>8.5499999999999993E-2</v>
      </c>
      <c r="K70" s="442">
        <f t="shared" si="35"/>
        <v>8.5499999999999993E-2</v>
      </c>
      <c r="L70" s="442">
        <f t="shared" si="35"/>
        <v>8.5499999999999993E-2</v>
      </c>
      <c r="M70" s="442">
        <f t="shared" si="35"/>
        <v>8.5499999999999993E-2</v>
      </c>
      <c r="N70" s="442">
        <f t="shared" si="35"/>
        <v>8.5499999999999993E-2</v>
      </c>
      <c r="O70" s="442">
        <f t="shared" si="35"/>
        <v>8.5499999999999993E-2</v>
      </c>
      <c r="P70" s="442">
        <f t="shared" si="35"/>
        <v>8.5499999999999993E-2</v>
      </c>
      <c r="Q70" s="442">
        <f t="shared" si="35"/>
        <v>8.5499999999999993E-2</v>
      </c>
      <c r="R70" s="442">
        <f t="shared" si="35"/>
        <v>8.5499999999999993E-2</v>
      </c>
      <c r="S70" s="442">
        <f t="shared" si="35"/>
        <v>8.5499999999999993E-2</v>
      </c>
      <c r="T70" s="442">
        <f t="shared" si="35"/>
        <v>8.5499999999999993E-2</v>
      </c>
      <c r="U70" s="442">
        <f t="shared" si="35"/>
        <v>8.5499999999999993E-2</v>
      </c>
      <c r="V70" s="442">
        <f t="shared" si="35"/>
        <v>8.5499999999999993E-2</v>
      </c>
      <c r="W70" s="442">
        <f t="shared" si="35"/>
        <v>8.5499999999999993E-2</v>
      </c>
      <c r="X70" s="442">
        <f t="shared" si="35"/>
        <v>8.5499999999999993E-2</v>
      </c>
      <c r="Y70" s="442">
        <f t="shared" si="35"/>
        <v>8.5499999999999993E-2</v>
      </c>
      <c r="Z70" s="442">
        <f t="shared" si="35"/>
        <v>8.5499999999999993E-2</v>
      </c>
      <c r="AA70" s="442">
        <f t="shared" si="35"/>
        <v>8.5499999999999993E-2</v>
      </c>
      <c r="AB70" s="442">
        <f t="shared" si="35"/>
        <v>8.5499999999999993E-2</v>
      </c>
      <c r="AC70" s="442">
        <f t="shared" si="35"/>
        <v>8.5499999999999993E-2</v>
      </c>
      <c r="AD70" s="442">
        <f t="shared" si="35"/>
        <v>8.5499999999999993E-2</v>
      </c>
      <c r="AE70" s="442">
        <f t="shared" si="35"/>
        <v>8.5499999999999993E-2</v>
      </c>
      <c r="AF70" s="442">
        <f t="shared" si="35"/>
        <v>8.5499999999999993E-2</v>
      </c>
      <c r="AG70" s="442">
        <f t="shared" si="35"/>
        <v>8.5499999999999993E-2</v>
      </c>
      <c r="AH70" s="442">
        <f t="shared" si="35"/>
        <v>8.5499999999999993E-2</v>
      </c>
    </row>
    <row r="71" spans="1:34" s="140" customFormat="1" ht="13.5" x14ac:dyDescent="0.25">
      <c r="A71" s="21" t="s">
        <v>264</v>
      </c>
      <c r="B71" s="2" t="s">
        <v>10</v>
      </c>
      <c r="C71" s="64">
        <f>'Założenia-dane wejściowe '!D44</f>
        <v>5.38</v>
      </c>
      <c r="D71" s="57">
        <f>'Założenia-dane wejściowe '!E44</f>
        <v>5.38</v>
      </c>
      <c r="E71" s="57">
        <f>'Założenia-dane wejściowe '!F44</f>
        <v>5.38</v>
      </c>
      <c r="F71" s="57">
        <f>'Założenia-dane wejściowe '!G44</f>
        <v>5.38</v>
      </c>
      <c r="G71" s="57">
        <f>'Założenia-dane wejściowe '!H44</f>
        <v>5.38</v>
      </c>
      <c r="H71" s="57">
        <f>'Założenia-dane wejściowe '!I44</f>
        <v>5.38</v>
      </c>
      <c r="I71" s="57">
        <f>'Założenia-dane wejściowe '!J44</f>
        <v>5.38</v>
      </c>
      <c r="J71" s="57">
        <f>'Założenia-dane wejściowe '!K44</f>
        <v>5.38</v>
      </c>
      <c r="K71" s="57">
        <f>'Założenia-dane wejściowe '!L44</f>
        <v>5.38</v>
      </c>
      <c r="L71" s="57">
        <f>'Założenia-dane wejściowe '!M44</f>
        <v>5.38</v>
      </c>
      <c r="M71" s="57">
        <f>'Założenia-dane wejściowe '!N44</f>
        <v>5.38</v>
      </c>
      <c r="N71" s="57">
        <f>'Założenia-dane wejściowe '!O44</f>
        <v>5.38</v>
      </c>
      <c r="O71" s="57">
        <f>'Założenia-dane wejściowe '!P44</f>
        <v>5.38</v>
      </c>
      <c r="P71" s="57">
        <f>'Założenia-dane wejściowe '!Q44</f>
        <v>5.38</v>
      </c>
      <c r="Q71" s="57">
        <f>'Założenia-dane wejściowe '!R44</f>
        <v>5.38</v>
      </c>
      <c r="R71" s="57">
        <f>'Założenia-dane wejściowe '!S44</f>
        <v>5.38</v>
      </c>
      <c r="S71" s="57">
        <f>'Założenia-dane wejściowe '!T44</f>
        <v>5.38</v>
      </c>
      <c r="T71" s="57">
        <f>'Założenia-dane wejściowe '!U44</f>
        <v>5.38</v>
      </c>
      <c r="U71" s="57">
        <f>'Założenia-dane wejściowe '!V44</f>
        <v>5.38</v>
      </c>
      <c r="V71" s="57">
        <f>'Założenia-dane wejściowe '!W44</f>
        <v>5.38</v>
      </c>
      <c r="W71" s="57">
        <f>'Założenia-dane wejściowe '!X44</f>
        <v>5.38</v>
      </c>
      <c r="X71" s="57">
        <f>'Założenia-dane wejściowe '!Y44</f>
        <v>5.38</v>
      </c>
      <c r="Y71" s="57">
        <f>'Założenia-dane wejściowe '!Z44</f>
        <v>5.38</v>
      </c>
      <c r="Z71" s="57">
        <f>'Założenia-dane wejściowe '!AA44</f>
        <v>5.38</v>
      </c>
      <c r="AA71" s="57">
        <f>'Założenia-dane wejściowe '!AB44</f>
        <v>5.38</v>
      </c>
      <c r="AB71" s="57">
        <f>'Założenia-dane wejściowe '!AC44</f>
        <v>5.38</v>
      </c>
      <c r="AC71" s="57">
        <f>'Założenia-dane wejściowe '!AD44</f>
        <v>5.38</v>
      </c>
      <c r="AD71" s="57">
        <f>'Założenia-dane wejściowe '!AE44</f>
        <v>5.38</v>
      </c>
      <c r="AE71" s="57">
        <f>'Założenia-dane wejściowe '!AF44</f>
        <v>5.38</v>
      </c>
      <c r="AF71" s="57">
        <f>'Założenia-dane wejściowe '!AG44</f>
        <v>5.38</v>
      </c>
      <c r="AG71" s="57">
        <f>'Założenia-dane wejściowe '!AH44</f>
        <v>5.38</v>
      </c>
      <c r="AH71" s="57">
        <f>'Założenia-dane wejściowe '!AI44</f>
        <v>5.38</v>
      </c>
    </row>
    <row r="72" spans="1:34" s="140" customFormat="1" ht="27" x14ac:dyDescent="0.25">
      <c r="A72" s="13" t="s">
        <v>277</v>
      </c>
      <c r="B72" s="2" t="s">
        <v>12</v>
      </c>
      <c r="C72" s="14">
        <f>'Założenia-dane wejściowe '!D45</f>
        <v>3431</v>
      </c>
      <c r="D72" s="14">
        <f t="shared" ref="D72:AH72" si="36">C72</f>
        <v>3431</v>
      </c>
      <c r="E72" s="14">
        <f t="shared" si="36"/>
        <v>3431</v>
      </c>
      <c r="F72" s="14">
        <f t="shared" si="36"/>
        <v>3431</v>
      </c>
      <c r="G72" s="14">
        <f t="shared" si="36"/>
        <v>3431</v>
      </c>
      <c r="H72" s="14">
        <f t="shared" si="36"/>
        <v>3431</v>
      </c>
      <c r="I72" s="14">
        <f t="shared" si="36"/>
        <v>3431</v>
      </c>
      <c r="J72" s="14">
        <f t="shared" si="36"/>
        <v>3431</v>
      </c>
      <c r="K72" s="14">
        <f t="shared" si="36"/>
        <v>3431</v>
      </c>
      <c r="L72" s="14">
        <f t="shared" si="36"/>
        <v>3431</v>
      </c>
      <c r="M72" s="14">
        <f t="shared" si="36"/>
        <v>3431</v>
      </c>
      <c r="N72" s="14">
        <f t="shared" si="36"/>
        <v>3431</v>
      </c>
      <c r="O72" s="14">
        <f t="shared" si="36"/>
        <v>3431</v>
      </c>
      <c r="P72" s="14">
        <f t="shared" si="36"/>
        <v>3431</v>
      </c>
      <c r="Q72" s="14">
        <f t="shared" si="36"/>
        <v>3431</v>
      </c>
      <c r="R72" s="14">
        <f t="shared" si="36"/>
        <v>3431</v>
      </c>
      <c r="S72" s="14">
        <f t="shared" si="36"/>
        <v>3431</v>
      </c>
      <c r="T72" s="14">
        <f t="shared" si="36"/>
        <v>3431</v>
      </c>
      <c r="U72" s="14">
        <f t="shared" si="36"/>
        <v>3431</v>
      </c>
      <c r="V72" s="14">
        <f t="shared" si="36"/>
        <v>3431</v>
      </c>
      <c r="W72" s="14">
        <f t="shared" si="36"/>
        <v>3431</v>
      </c>
      <c r="X72" s="14">
        <f t="shared" si="36"/>
        <v>3431</v>
      </c>
      <c r="Y72" s="14">
        <f t="shared" si="36"/>
        <v>3431</v>
      </c>
      <c r="Z72" s="14">
        <f t="shared" si="36"/>
        <v>3431</v>
      </c>
      <c r="AA72" s="14">
        <f t="shared" si="36"/>
        <v>3431</v>
      </c>
      <c r="AB72" s="14">
        <f t="shared" si="36"/>
        <v>3431</v>
      </c>
      <c r="AC72" s="14">
        <f t="shared" si="36"/>
        <v>3431</v>
      </c>
      <c r="AD72" s="14">
        <f t="shared" si="36"/>
        <v>3431</v>
      </c>
      <c r="AE72" s="14">
        <f t="shared" si="36"/>
        <v>3431</v>
      </c>
      <c r="AF72" s="14">
        <f t="shared" si="36"/>
        <v>3431</v>
      </c>
      <c r="AG72" s="14">
        <f t="shared" si="36"/>
        <v>3431</v>
      </c>
      <c r="AH72" s="14">
        <f t="shared" si="36"/>
        <v>3431</v>
      </c>
    </row>
    <row r="73" spans="1:34" s="140" customFormat="1" ht="27" x14ac:dyDescent="0.25">
      <c r="A73" s="13" t="s">
        <v>271</v>
      </c>
      <c r="B73" s="2" t="s">
        <v>13</v>
      </c>
      <c r="C73" s="442">
        <f>'Założenia-dane wejściowe '!D46</f>
        <v>0.8</v>
      </c>
      <c r="D73" s="442">
        <f t="shared" ref="D73:AH73" si="37">C73</f>
        <v>0.8</v>
      </c>
      <c r="E73" s="442">
        <f t="shared" si="37"/>
        <v>0.8</v>
      </c>
      <c r="F73" s="442">
        <f t="shared" si="37"/>
        <v>0.8</v>
      </c>
      <c r="G73" s="442">
        <f t="shared" si="37"/>
        <v>0.8</v>
      </c>
      <c r="H73" s="442">
        <f t="shared" si="37"/>
        <v>0.8</v>
      </c>
      <c r="I73" s="442">
        <f t="shared" si="37"/>
        <v>0.8</v>
      </c>
      <c r="J73" s="442">
        <f t="shared" si="37"/>
        <v>0.8</v>
      </c>
      <c r="K73" s="442">
        <f t="shared" si="37"/>
        <v>0.8</v>
      </c>
      <c r="L73" s="442">
        <f t="shared" si="37"/>
        <v>0.8</v>
      </c>
      <c r="M73" s="442">
        <f t="shared" si="37"/>
        <v>0.8</v>
      </c>
      <c r="N73" s="442">
        <f t="shared" si="37"/>
        <v>0.8</v>
      </c>
      <c r="O73" s="442">
        <f t="shared" si="37"/>
        <v>0.8</v>
      </c>
      <c r="P73" s="442">
        <f t="shared" si="37"/>
        <v>0.8</v>
      </c>
      <c r="Q73" s="442">
        <f t="shared" si="37"/>
        <v>0.8</v>
      </c>
      <c r="R73" s="442">
        <f t="shared" si="37"/>
        <v>0.8</v>
      </c>
      <c r="S73" s="442">
        <f t="shared" si="37"/>
        <v>0.8</v>
      </c>
      <c r="T73" s="442">
        <f t="shared" si="37"/>
        <v>0.8</v>
      </c>
      <c r="U73" s="442">
        <f t="shared" si="37"/>
        <v>0.8</v>
      </c>
      <c r="V73" s="442">
        <f t="shared" si="37"/>
        <v>0.8</v>
      </c>
      <c r="W73" s="442">
        <f t="shared" si="37"/>
        <v>0.8</v>
      </c>
      <c r="X73" s="442">
        <f t="shared" si="37"/>
        <v>0.8</v>
      </c>
      <c r="Y73" s="442">
        <f t="shared" si="37"/>
        <v>0.8</v>
      </c>
      <c r="Z73" s="442">
        <f t="shared" si="37"/>
        <v>0.8</v>
      </c>
      <c r="AA73" s="442">
        <f t="shared" si="37"/>
        <v>0.8</v>
      </c>
      <c r="AB73" s="442">
        <f t="shared" si="37"/>
        <v>0.8</v>
      </c>
      <c r="AC73" s="442">
        <f t="shared" si="37"/>
        <v>0.8</v>
      </c>
      <c r="AD73" s="442">
        <f t="shared" si="37"/>
        <v>0.8</v>
      </c>
      <c r="AE73" s="442">
        <f t="shared" si="37"/>
        <v>0.8</v>
      </c>
      <c r="AF73" s="442">
        <f t="shared" si="37"/>
        <v>0.8</v>
      </c>
      <c r="AG73" s="442">
        <f t="shared" si="37"/>
        <v>0.8</v>
      </c>
      <c r="AH73" s="442">
        <f t="shared" si="37"/>
        <v>0.8</v>
      </c>
    </row>
    <row r="74" spans="1:34" s="140" customFormat="1" ht="40.5" x14ac:dyDescent="0.25">
      <c r="A74" s="13" t="s">
        <v>278</v>
      </c>
      <c r="B74" s="2" t="s">
        <v>12</v>
      </c>
      <c r="C74" s="14">
        <f>'Założenia-dane wejściowe '!D47</f>
        <v>29347</v>
      </c>
      <c r="D74" s="14">
        <f t="shared" ref="D74:AH74" si="38">C74</f>
        <v>29347</v>
      </c>
      <c r="E74" s="14">
        <f t="shared" si="38"/>
        <v>29347</v>
      </c>
      <c r="F74" s="14">
        <f t="shared" si="38"/>
        <v>29347</v>
      </c>
      <c r="G74" s="14">
        <f t="shared" si="38"/>
        <v>29347</v>
      </c>
      <c r="H74" s="14">
        <f t="shared" si="38"/>
        <v>29347</v>
      </c>
      <c r="I74" s="14">
        <f t="shared" si="38"/>
        <v>29347</v>
      </c>
      <c r="J74" s="14">
        <f t="shared" si="38"/>
        <v>29347</v>
      </c>
      <c r="K74" s="14">
        <f t="shared" si="38"/>
        <v>29347</v>
      </c>
      <c r="L74" s="14">
        <f t="shared" si="38"/>
        <v>29347</v>
      </c>
      <c r="M74" s="14">
        <f t="shared" si="38"/>
        <v>29347</v>
      </c>
      <c r="N74" s="14">
        <f t="shared" si="38"/>
        <v>29347</v>
      </c>
      <c r="O74" s="14">
        <f t="shared" si="38"/>
        <v>29347</v>
      </c>
      <c r="P74" s="14">
        <f t="shared" si="38"/>
        <v>29347</v>
      </c>
      <c r="Q74" s="14">
        <f t="shared" si="38"/>
        <v>29347</v>
      </c>
      <c r="R74" s="14">
        <f t="shared" si="38"/>
        <v>29347</v>
      </c>
      <c r="S74" s="14">
        <f t="shared" si="38"/>
        <v>29347</v>
      </c>
      <c r="T74" s="14">
        <f t="shared" si="38"/>
        <v>29347</v>
      </c>
      <c r="U74" s="14">
        <f t="shared" si="38"/>
        <v>29347</v>
      </c>
      <c r="V74" s="14">
        <f t="shared" si="38"/>
        <v>29347</v>
      </c>
      <c r="W74" s="14">
        <f t="shared" si="38"/>
        <v>29347</v>
      </c>
      <c r="X74" s="14">
        <f t="shared" si="38"/>
        <v>29347</v>
      </c>
      <c r="Y74" s="14">
        <f t="shared" si="38"/>
        <v>29347</v>
      </c>
      <c r="Z74" s="14">
        <f t="shared" si="38"/>
        <v>29347</v>
      </c>
      <c r="AA74" s="14">
        <f t="shared" si="38"/>
        <v>29347</v>
      </c>
      <c r="AB74" s="14">
        <f t="shared" si="38"/>
        <v>29347</v>
      </c>
      <c r="AC74" s="14">
        <f t="shared" si="38"/>
        <v>29347</v>
      </c>
      <c r="AD74" s="14">
        <f t="shared" si="38"/>
        <v>29347</v>
      </c>
      <c r="AE74" s="14">
        <f t="shared" si="38"/>
        <v>29347</v>
      </c>
      <c r="AF74" s="14">
        <f t="shared" si="38"/>
        <v>29347</v>
      </c>
      <c r="AG74" s="14">
        <f t="shared" si="38"/>
        <v>29347</v>
      </c>
      <c r="AH74" s="14">
        <f t="shared" si="38"/>
        <v>29347</v>
      </c>
    </row>
    <row r="75" spans="1:34" s="140" customFormat="1" ht="27" x14ac:dyDescent="0.25">
      <c r="A75" s="13" t="s">
        <v>273</v>
      </c>
      <c r="B75" s="212" t="s">
        <v>13</v>
      </c>
      <c r="C75" s="442">
        <f>'Założenia-dane wejściowe '!D48</f>
        <v>0.17</v>
      </c>
      <c r="D75" s="448">
        <f t="shared" ref="D75:AH75" si="39">C75</f>
        <v>0.17</v>
      </c>
      <c r="E75" s="442">
        <f t="shared" si="39"/>
        <v>0.17</v>
      </c>
      <c r="F75" s="442">
        <f t="shared" si="39"/>
        <v>0.17</v>
      </c>
      <c r="G75" s="442">
        <f t="shared" si="39"/>
        <v>0.17</v>
      </c>
      <c r="H75" s="442">
        <f t="shared" si="39"/>
        <v>0.17</v>
      </c>
      <c r="I75" s="442">
        <f t="shared" si="39"/>
        <v>0.17</v>
      </c>
      <c r="J75" s="442">
        <f t="shared" si="39"/>
        <v>0.17</v>
      </c>
      <c r="K75" s="442">
        <f t="shared" si="39"/>
        <v>0.17</v>
      </c>
      <c r="L75" s="442">
        <f t="shared" si="39"/>
        <v>0.17</v>
      </c>
      <c r="M75" s="442">
        <f t="shared" si="39"/>
        <v>0.17</v>
      </c>
      <c r="N75" s="442">
        <f t="shared" si="39"/>
        <v>0.17</v>
      </c>
      <c r="O75" s="442">
        <f t="shared" si="39"/>
        <v>0.17</v>
      </c>
      <c r="P75" s="442">
        <f t="shared" si="39"/>
        <v>0.17</v>
      </c>
      <c r="Q75" s="442">
        <f t="shared" si="39"/>
        <v>0.17</v>
      </c>
      <c r="R75" s="442">
        <f t="shared" si="39"/>
        <v>0.17</v>
      </c>
      <c r="S75" s="442">
        <f t="shared" si="39"/>
        <v>0.17</v>
      </c>
      <c r="T75" s="442">
        <f t="shared" si="39"/>
        <v>0.17</v>
      </c>
      <c r="U75" s="442">
        <f t="shared" si="39"/>
        <v>0.17</v>
      </c>
      <c r="V75" s="442">
        <f t="shared" si="39"/>
        <v>0.17</v>
      </c>
      <c r="W75" s="442">
        <f t="shared" si="39"/>
        <v>0.17</v>
      </c>
      <c r="X75" s="442">
        <f t="shared" si="39"/>
        <v>0.17</v>
      </c>
      <c r="Y75" s="442">
        <f t="shared" si="39"/>
        <v>0.17</v>
      </c>
      <c r="Z75" s="442">
        <f t="shared" si="39"/>
        <v>0.17</v>
      </c>
      <c r="AA75" s="442">
        <f t="shared" si="39"/>
        <v>0.17</v>
      </c>
      <c r="AB75" s="442">
        <f t="shared" si="39"/>
        <v>0.17</v>
      </c>
      <c r="AC75" s="442">
        <f t="shared" si="39"/>
        <v>0.17</v>
      </c>
      <c r="AD75" s="442">
        <f t="shared" si="39"/>
        <v>0.17</v>
      </c>
      <c r="AE75" s="442">
        <f t="shared" si="39"/>
        <v>0.17</v>
      </c>
      <c r="AF75" s="442">
        <f t="shared" si="39"/>
        <v>0.17</v>
      </c>
      <c r="AG75" s="442">
        <f t="shared" si="39"/>
        <v>0.17</v>
      </c>
      <c r="AH75" s="442">
        <f t="shared" si="39"/>
        <v>0.17</v>
      </c>
    </row>
    <row r="76" spans="1:34" s="140" customFormat="1" ht="13.5" x14ac:dyDescent="0.25">
      <c r="A76" s="213" t="s">
        <v>337</v>
      </c>
      <c r="B76" s="214" t="s">
        <v>13</v>
      </c>
      <c r="C76" s="215">
        <f>C77+C78+C79</f>
        <v>32682.267630000002</v>
      </c>
      <c r="D76" s="215">
        <f>D77+D78+D79</f>
        <v>32682.267630000002</v>
      </c>
      <c r="E76" s="215">
        <f>E77+E78+E79</f>
        <v>32682.267630000002</v>
      </c>
      <c r="F76" s="216">
        <f>F77+F78+F79</f>
        <v>32682.267630000002</v>
      </c>
      <c r="G76" s="216">
        <f t="shared" ref="G76:AG76" si="40">G77+G78+G79</f>
        <v>32682.267630000002</v>
      </c>
      <c r="H76" s="216">
        <f t="shared" si="40"/>
        <v>32682.267630000002</v>
      </c>
      <c r="I76" s="216">
        <f t="shared" si="40"/>
        <v>32682.267630000002</v>
      </c>
      <c r="J76" s="216">
        <f t="shared" si="40"/>
        <v>32682.267630000002</v>
      </c>
      <c r="K76" s="216">
        <f t="shared" si="40"/>
        <v>32682.267630000002</v>
      </c>
      <c r="L76" s="216">
        <f t="shared" si="40"/>
        <v>32682.267630000002</v>
      </c>
      <c r="M76" s="216">
        <f t="shared" si="40"/>
        <v>32682.267630000002</v>
      </c>
      <c r="N76" s="216">
        <f t="shared" si="40"/>
        <v>32682.267630000002</v>
      </c>
      <c r="O76" s="216">
        <f t="shared" si="40"/>
        <v>32682.267630000002</v>
      </c>
      <c r="P76" s="216">
        <f t="shared" si="40"/>
        <v>32682.267630000002</v>
      </c>
      <c r="Q76" s="216">
        <f t="shared" si="40"/>
        <v>32682.267630000002</v>
      </c>
      <c r="R76" s="216">
        <f t="shared" si="40"/>
        <v>32682.267630000002</v>
      </c>
      <c r="S76" s="216">
        <f t="shared" si="40"/>
        <v>32682.267630000002</v>
      </c>
      <c r="T76" s="216">
        <f t="shared" si="40"/>
        <v>32682.267630000002</v>
      </c>
      <c r="U76" s="216">
        <f t="shared" si="40"/>
        <v>32682.267630000002</v>
      </c>
      <c r="V76" s="216">
        <f t="shared" si="40"/>
        <v>32682.267630000002</v>
      </c>
      <c r="W76" s="216">
        <f t="shared" si="40"/>
        <v>32682.267630000002</v>
      </c>
      <c r="X76" s="216">
        <f t="shared" si="40"/>
        <v>32682.267630000002</v>
      </c>
      <c r="Y76" s="216">
        <f t="shared" si="40"/>
        <v>32682.267630000002</v>
      </c>
      <c r="Z76" s="216">
        <f t="shared" si="40"/>
        <v>32682.267630000002</v>
      </c>
      <c r="AA76" s="216">
        <f t="shared" si="40"/>
        <v>32682.267630000002</v>
      </c>
      <c r="AB76" s="216">
        <f t="shared" si="40"/>
        <v>32682.267630000002</v>
      </c>
      <c r="AC76" s="216">
        <f t="shared" si="40"/>
        <v>32682.267630000002</v>
      </c>
      <c r="AD76" s="216">
        <f t="shared" si="40"/>
        <v>32682.267630000002</v>
      </c>
      <c r="AE76" s="216">
        <f t="shared" si="40"/>
        <v>32682.267630000002</v>
      </c>
      <c r="AF76" s="216">
        <f t="shared" si="40"/>
        <v>32682.267630000002</v>
      </c>
      <c r="AG76" s="216">
        <f t="shared" si="40"/>
        <v>32682.267630000002</v>
      </c>
      <c r="AH76" s="216">
        <f>AH77+AH78+AH79</f>
        <v>32682.267630000002</v>
      </c>
    </row>
    <row r="77" spans="1:34" s="140" customFormat="1" ht="13.5" x14ac:dyDescent="0.25">
      <c r="A77" s="217" t="s">
        <v>73</v>
      </c>
      <c r="B77" s="212" t="s">
        <v>13</v>
      </c>
      <c r="C77" s="218">
        <f t="shared" ref="C77:AG77" si="41">C69*C70*C71</f>
        <v>24948.477630000001</v>
      </c>
      <c r="D77" s="218">
        <f t="shared" si="41"/>
        <v>24948.477630000001</v>
      </c>
      <c r="E77" s="218">
        <f t="shared" si="41"/>
        <v>24948.477630000001</v>
      </c>
      <c r="F77" s="218">
        <f t="shared" si="41"/>
        <v>24948.477630000001</v>
      </c>
      <c r="G77" s="218">
        <f t="shared" si="41"/>
        <v>24948.477630000001</v>
      </c>
      <c r="H77" s="218">
        <f t="shared" si="41"/>
        <v>24948.477630000001</v>
      </c>
      <c r="I77" s="218">
        <f t="shared" si="41"/>
        <v>24948.477630000001</v>
      </c>
      <c r="J77" s="218">
        <f t="shared" si="41"/>
        <v>24948.477630000001</v>
      </c>
      <c r="K77" s="218">
        <f t="shared" si="41"/>
        <v>24948.477630000001</v>
      </c>
      <c r="L77" s="218">
        <f t="shared" si="41"/>
        <v>24948.477630000001</v>
      </c>
      <c r="M77" s="218">
        <f t="shared" si="41"/>
        <v>24948.477630000001</v>
      </c>
      <c r="N77" s="218">
        <f t="shared" si="41"/>
        <v>24948.477630000001</v>
      </c>
      <c r="O77" s="218">
        <f t="shared" si="41"/>
        <v>24948.477630000001</v>
      </c>
      <c r="P77" s="218">
        <f t="shared" si="41"/>
        <v>24948.477630000001</v>
      </c>
      <c r="Q77" s="218">
        <f t="shared" si="41"/>
        <v>24948.477630000001</v>
      </c>
      <c r="R77" s="218">
        <f t="shared" si="41"/>
        <v>24948.477630000001</v>
      </c>
      <c r="S77" s="218">
        <f t="shared" si="41"/>
        <v>24948.477630000001</v>
      </c>
      <c r="T77" s="218">
        <f t="shared" si="41"/>
        <v>24948.477630000001</v>
      </c>
      <c r="U77" s="218">
        <f t="shared" si="41"/>
        <v>24948.477630000001</v>
      </c>
      <c r="V77" s="218">
        <f t="shared" si="41"/>
        <v>24948.477630000001</v>
      </c>
      <c r="W77" s="218">
        <f t="shared" si="41"/>
        <v>24948.477630000001</v>
      </c>
      <c r="X77" s="218">
        <f t="shared" si="41"/>
        <v>24948.477630000001</v>
      </c>
      <c r="Y77" s="218">
        <f t="shared" si="41"/>
        <v>24948.477630000001</v>
      </c>
      <c r="Z77" s="218">
        <f t="shared" si="41"/>
        <v>24948.477630000001</v>
      </c>
      <c r="AA77" s="218">
        <f t="shared" si="41"/>
        <v>24948.477630000001</v>
      </c>
      <c r="AB77" s="218">
        <f t="shared" si="41"/>
        <v>24948.477630000001</v>
      </c>
      <c r="AC77" s="218">
        <f t="shared" si="41"/>
        <v>24948.477630000001</v>
      </c>
      <c r="AD77" s="218">
        <f t="shared" si="41"/>
        <v>24948.477630000001</v>
      </c>
      <c r="AE77" s="218">
        <f t="shared" si="41"/>
        <v>24948.477630000001</v>
      </c>
      <c r="AF77" s="218">
        <f t="shared" si="41"/>
        <v>24948.477630000001</v>
      </c>
      <c r="AG77" s="218">
        <f t="shared" si="41"/>
        <v>24948.477630000001</v>
      </c>
      <c r="AH77" s="218">
        <f>AH69*AH70*AH71</f>
        <v>24948.477630000001</v>
      </c>
    </row>
    <row r="78" spans="1:34" s="140" customFormat="1" ht="13.5" x14ac:dyDescent="0.25">
      <c r="A78" s="217" t="s">
        <v>364</v>
      </c>
      <c r="B78" s="212" t="s">
        <v>13</v>
      </c>
      <c r="C78" s="218">
        <f>C72*C73</f>
        <v>2744.8</v>
      </c>
      <c r="D78" s="218">
        <f>D72*D73</f>
        <v>2744.8</v>
      </c>
      <c r="E78" s="218">
        <f>E72*E73</f>
        <v>2744.8</v>
      </c>
      <c r="F78" s="219">
        <f>F72*F73</f>
        <v>2744.8</v>
      </c>
      <c r="G78" s="219">
        <f t="shared" ref="G78:AG78" si="42">G72*G73</f>
        <v>2744.8</v>
      </c>
      <c r="H78" s="219">
        <f t="shared" si="42"/>
        <v>2744.8</v>
      </c>
      <c r="I78" s="219">
        <f t="shared" si="42"/>
        <v>2744.8</v>
      </c>
      <c r="J78" s="219">
        <f t="shared" si="42"/>
        <v>2744.8</v>
      </c>
      <c r="K78" s="219">
        <f t="shared" si="42"/>
        <v>2744.8</v>
      </c>
      <c r="L78" s="219">
        <f t="shared" si="42"/>
        <v>2744.8</v>
      </c>
      <c r="M78" s="219">
        <f t="shared" si="42"/>
        <v>2744.8</v>
      </c>
      <c r="N78" s="219">
        <f t="shared" si="42"/>
        <v>2744.8</v>
      </c>
      <c r="O78" s="219">
        <f t="shared" si="42"/>
        <v>2744.8</v>
      </c>
      <c r="P78" s="219">
        <f t="shared" si="42"/>
        <v>2744.8</v>
      </c>
      <c r="Q78" s="219">
        <f t="shared" si="42"/>
        <v>2744.8</v>
      </c>
      <c r="R78" s="219">
        <f t="shared" si="42"/>
        <v>2744.8</v>
      </c>
      <c r="S78" s="219">
        <f t="shared" si="42"/>
        <v>2744.8</v>
      </c>
      <c r="T78" s="219">
        <f t="shared" si="42"/>
        <v>2744.8</v>
      </c>
      <c r="U78" s="219">
        <f t="shared" si="42"/>
        <v>2744.8</v>
      </c>
      <c r="V78" s="219">
        <f t="shared" si="42"/>
        <v>2744.8</v>
      </c>
      <c r="W78" s="219">
        <f t="shared" si="42"/>
        <v>2744.8</v>
      </c>
      <c r="X78" s="219">
        <f t="shared" si="42"/>
        <v>2744.8</v>
      </c>
      <c r="Y78" s="219">
        <f t="shared" si="42"/>
        <v>2744.8</v>
      </c>
      <c r="Z78" s="219">
        <f t="shared" si="42"/>
        <v>2744.8</v>
      </c>
      <c r="AA78" s="219">
        <f t="shared" si="42"/>
        <v>2744.8</v>
      </c>
      <c r="AB78" s="219">
        <f t="shared" si="42"/>
        <v>2744.8</v>
      </c>
      <c r="AC78" s="219">
        <f t="shared" si="42"/>
        <v>2744.8</v>
      </c>
      <c r="AD78" s="219">
        <f t="shared" si="42"/>
        <v>2744.8</v>
      </c>
      <c r="AE78" s="219">
        <f t="shared" si="42"/>
        <v>2744.8</v>
      </c>
      <c r="AF78" s="219">
        <f t="shared" si="42"/>
        <v>2744.8</v>
      </c>
      <c r="AG78" s="219">
        <f t="shared" si="42"/>
        <v>2744.8</v>
      </c>
      <c r="AH78" s="219">
        <f>AH72*AH73</f>
        <v>2744.8</v>
      </c>
    </row>
    <row r="79" spans="1:34" s="140" customFormat="1" ht="13.5" x14ac:dyDescent="0.25">
      <c r="A79" s="217" t="s">
        <v>365</v>
      </c>
      <c r="B79" s="212" t="s">
        <v>13</v>
      </c>
      <c r="C79" s="218">
        <f>C74*C75</f>
        <v>4988.9900000000007</v>
      </c>
      <c r="D79" s="218">
        <f>D74*D75</f>
        <v>4988.9900000000007</v>
      </c>
      <c r="E79" s="218">
        <f>E74*E75</f>
        <v>4988.9900000000007</v>
      </c>
      <c r="F79" s="219">
        <f>F74*F75</f>
        <v>4988.9900000000007</v>
      </c>
      <c r="G79" s="219">
        <f t="shared" ref="G79:AG79" si="43">G74*G75</f>
        <v>4988.9900000000007</v>
      </c>
      <c r="H79" s="219">
        <f t="shared" si="43"/>
        <v>4988.9900000000007</v>
      </c>
      <c r="I79" s="219">
        <f t="shared" si="43"/>
        <v>4988.9900000000007</v>
      </c>
      <c r="J79" s="219">
        <f t="shared" si="43"/>
        <v>4988.9900000000007</v>
      </c>
      <c r="K79" s="219">
        <f t="shared" si="43"/>
        <v>4988.9900000000007</v>
      </c>
      <c r="L79" s="219">
        <f t="shared" si="43"/>
        <v>4988.9900000000007</v>
      </c>
      <c r="M79" s="219">
        <f t="shared" si="43"/>
        <v>4988.9900000000007</v>
      </c>
      <c r="N79" s="219">
        <f t="shared" si="43"/>
        <v>4988.9900000000007</v>
      </c>
      <c r="O79" s="219">
        <f t="shared" si="43"/>
        <v>4988.9900000000007</v>
      </c>
      <c r="P79" s="219">
        <f t="shared" si="43"/>
        <v>4988.9900000000007</v>
      </c>
      <c r="Q79" s="219">
        <f t="shared" si="43"/>
        <v>4988.9900000000007</v>
      </c>
      <c r="R79" s="219">
        <f t="shared" si="43"/>
        <v>4988.9900000000007</v>
      </c>
      <c r="S79" s="219">
        <f t="shared" si="43"/>
        <v>4988.9900000000007</v>
      </c>
      <c r="T79" s="219">
        <f t="shared" si="43"/>
        <v>4988.9900000000007</v>
      </c>
      <c r="U79" s="219">
        <f t="shared" si="43"/>
        <v>4988.9900000000007</v>
      </c>
      <c r="V79" s="219">
        <f t="shared" si="43"/>
        <v>4988.9900000000007</v>
      </c>
      <c r="W79" s="219">
        <f t="shared" si="43"/>
        <v>4988.9900000000007</v>
      </c>
      <c r="X79" s="219">
        <f t="shared" si="43"/>
        <v>4988.9900000000007</v>
      </c>
      <c r="Y79" s="219">
        <f t="shared" si="43"/>
        <v>4988.9900000000007</v>
      </c>
      <c r="Z79" s="219">
        <f t="shared" si="43"/>
        <v>4988.9900000000007</v>
      </c>
      <c r="AA79" s="219">
        <f t="shared" si="43"/>
        <v>4988.9900000000007</v>
      </c>
      <c r="AB79" s="219">
        <f t="shared" si="43"/>
        <v>4988.9900000000007</v>
      </c>
      <c r="AC79" s="219">
        <f t="shared" si="43"/>
        <v>4988.9900000000007</v>
      </c>
      <c r="AD79" s="219">
        <f t="shared" si="43"/>
        <v>4988.9900000000007</v>
      </c>
      <c r="AE79" s="219">
        <f t="shared" si="43"/>
        <v>4988.9900000000007</v>
      </c>
      <c r="AF79" s="219">
        <f t="shared" si="43"/>
        <v>4988.9900000000007</v>
      </c>
      <c r="AG79" s="219">
        <f t="shared" si="43"/>
        <v>4988.9900000000007</v>
      </c>
      <c r="AH79" s="219">
        <f>AH74*AH75</f>
        <v>4988.9900000000007</v>
      </c>
    </row>
    <row r="80" spans="1:34" s="140" customFormat="1" ht="13.5" x14ac:dyDescent="0.25">
      <c r="A80" s="213" t="s">
        <v>338</v>
      </c>
      <c r="B80" s="214" t="s">
        <v>77</v>
      </c>
      <c r="C80" s="220">
        <f>C81+C82+C83</f>
        <v>11929027.68495</v>
      </c>
      <c r="D80" s="220">
        <f>D81+D82+D83</f>
        <v>11929027.68495</v>
      </c>
      <c r="E80" s="220">
        <f>E81+E82+E83</f>
        <v>11929027.68495</v>
      </c>
      <c r="F80" s="221">
        <f>F81+F82+F83</f>
        <v>11929027.68495</v>
      </c>
      <c r="G80" s="221">
        <f t="shared" ref="G80:AG80" si="44">G81+G82+G83</f>
        <v>11929027.68495</v>
      </c>
      <c r="H80" s="221">
        <f t="shared" si="44"/>
        <v>11929027.68495</v>
      </c>
      <c r="I80" s="221">
        <f t="shared" si="44"/>
        <v>11929027.68495</v>
      </c>
      <c r="J80" s="221">
        <f t="shared" si="44"/>
        <v>11929027.68495</v>
      </c>
      <c r="K80" s="221">
        <f t="shared" si="44"/>
        <v>11929027.68495</v>
      </c>
      <c r="L80" s="221">
        <f t="shared" si="44"/>
        <v>11929027.68495</v>
      </c>
      <c r="M80" s="221">
        <f t="shared" si="44"/>
        <v>11929027.68495</v>
      </c>
      <c r="N80" s="221">
        <f t="shared" si="44"/>
        <v>11929027.68495</v>
      </c>
      <c r="O80" s="221">
        <f t="shared" si="44"/>
        <v>11929027.68495</v>
      </c>
      <c r="P80" s="221">
        <f t="shared" si="44"/>
        <v>11929027.68495</v>
      </c>
      <c r="Q80" s="221">
        <f t="shared" si="44"/>
        <v>11929027.68495</v>
      </c>
      <c r="R80" s="221">
        <f t="shared" si="44"/>
        <v>11929027.68495</v>
      </c>
      <c r="S80" s="221">
        <f t="shared" si="44"/>
        <v>11929027.68495</v>
      </c>
      <c r="T80" s="221">
        <f t="shared" si="44"/>
        <v>11929027.68495</v>
      </c>
      <c r="U80" s="221">
        <f t="shared" si="44"/>
        <v>11929027.68495</v>
      </c>
      <c r="V80" s="221">
        <f t="shared" si="44"/>
        <v>11929027.68495</v>
      </c>
      <c r="W80" s="221">
        <f t="shared" si="44"/>
        <v>11929027.68495</v>
      </c>
      <c r="X80" s="221">
        <f t="shared" si="44"/>
        <v>11929027.68495</v>
      </c>
      <c r="Y80" s="221">
        <f t="shared" si="44"/>
        <v>11929027.68495</v>
      </c>
      <c r="Z80" s="221">
        <f t="shared" si="44"/>
        <v>11929027.68495</v>
      </c>
      <c r="AA80" s="221">
        <f t="shared" si="44"/>
        <v>11929027.68495</v>
      </c>
      <c r="AB80" s="221">
        <f t="shared" si="44"/>
        <v>11929027.68495</v>
      </c>
      <c r="AC80" s="221">
        <f t="shared" si="44"/>
        <v>11929027.68495</v>
      </c>
      <c r="AD80" s="221">
        <f t="shared" si="44"/>
        <v>11929027.68495</v>
      </c>
      <c r="AE80" s="221">
        <f t="shared" si="44"/>
        <v>11929027.68495</v>
      </c>
      <c r="AF80" s="221">
        <f t="shared" si="44"/>
        <v>11929027.68495</v>
      </c>
      <c r="AG80" s="221">
        <f t="shared" si="44"/>
        <v>11929027.68495</v>
      </c>
      <c r="AH80" s="221">
        <f>AH81+AH82+AH83</f>
        <v>11929027.68495</v>
      </c>
    </row>
    <row r="81" spans="1:34" s="140" customFormat="1" ht="13.5" x14ac:dyDescent="0.25">
      <c r="A81" s="217" t="s">
        <v>73</v>
      </c>
      <c r="B81" s="212" t="s">
        <v>77</v>
      </c>
      <c r="C81" s="222">
        <f>C77*$B$84</f>
        <v>9106194.33495</v>
      </c>
      <c r="D81" s="222">
        <f t="shared" ref="D81:AG81" si="45">D77*$B$64</f>
        <v>9106194.33495</v>
      </c>
      <c r="E81" s="222">
        <f t="shared" si="45"/>
        <v>9106194.33495</v>
      </c>
      <c r="F81" s="222">
        <f t="shared" si="45"/>
        <v>9106194.33495</v>
      </c>
      <c r="G81" s="222">
        <f t="shared" si="45"/>
        <v>9106194.33495</v>
      </c>
      <c r="H81" s="222">
        <f t="shared" si="45"/>
        <v>9106194.33495</v>
      </c>
      <c r="I81" s="222">
        <f t="shared" si="45"/>
        <v>9106194.33495</v>
      </c>
      <c r="J81" s="222">
        <f t="shared" si="45"/>
        <v>9106194.33495</v>
      </c>
      <c r="K81" s="222">
        <f t="shared" si="45"/>
        <v>9106194.33495</v>
      </c>
      <c r="L81" s="222">
        <f t="shared" si="45"/>
        <v>9106194.33495</v>
      </c>
      <c r="M81" s="222">
        <f t="shared" si="45"/>
        <v>9106194.33495</v>
      </c>
      <c r="N81" s="222">
        <f t="shared" si="45"/>
        <v>9106194.33495</v>
      </c>
      <c r="O81" s="222">
        <f t="shared" si="45"/>
        <v>9106194.33495</v>
      </c>
      <c r="P81" s="222">
        <f t="shared" si="45"/>
        <v>9106194.33495</v>
      </c>
      <c r="Q81" s="222">
        <f t="shared" si="45"/>
        <v>9106194.33495</v>
      </c>
      <c r="R81" s="222">
        <f t="shared" si="45"/>
        <v>9106194.33495</v>
      </c>
      <c r="S81" s="222">
        <f t="shared" si="45"/>
        <v>9106194.33495</v>
      </c>
      <c r="T81" s="222">
        <f t="shared" si="45"/>
        <v>9106194.33495</v>
      </c>
      <c r="U81" s="222">
        <f t="shared" si="45"/>
        <v>9106194.33495</v>
      </c>
      <c r="V81" s="222">
        <f t="shared" si="45"/>
        <v>9106194.33495</v>
      </c>
      <c r="W81" s="222">
        <f t="shared" si="45"/>
        <v>9106194.33495</v>
      </c>
      <c r="X81" s="222">
        <f t="shared" si="45"/>
        <v>9106194.33495</v>
      </c>
      <c r="Y81" s="222">
        <f t="shared" si="45"/>
        <v>9106194.33495</v>
      </c>
      <c r="Z81" s="222">
        <f t="shared" si="45"/>
        <v>9106194.33495</v>
      </c>
      <c r="AA81" s="222">
        <f t="shared" si="45"/>
        <v>9106194.33495</v>
      </c>
      <c r="AB81" s="222">
        <f t="shared" si="45"/>
        <v>9106194.33495</v>
      </c>
      <c r="AC81" s="222">
        <f t="shared" si="45"/>
        <v>9106194.33495</v>
      </c>
      <c r="AD81" s="222">
        <f t="shared" si="45"/>
        <v>9106194.33495</v>
      </c>
      <c r="AE81" s="222">
        <f t="shared" si="45"/>
        <v>9106194.33495</v>
      </c>
      <c r="AF81" s="222">
        <f t="shared" si="45"/>
        <v>9106194.33495</v>
      </c>
      <c r="AG81" s="222">
        <f t="shared" si="45"/>
        <v>9106194.33495</v>
      </c>
      <c r="AH81" s="222">
        <f>AH77*$B$64</f>
        <v>9106194.33495</v>
      </c>
    </row>
    <row r="82" spans="1:34" s="140" customFormat="1" ht="13.5" x14ac:dyDescent="0.25">
      <c r="A82" s="217" t="s">
        <v>364</v>
      </c>
      <c r="B82" s="212" t="s">
        <v>77</v>
      </c>
      <c r="C82" s="222">
        <f>C78*$B$84</f>
        <v>1001852.0000000001</v>
      </c>
      <c r="D82" s="222">
        <f t="shared" ref="D82:AG82" si="46">D78*$B$64</f>
        <v>1001852.0000000001</v>
      </c>
      <c r="E82" s="222">
        <f t="shared" si="46"/>
        <v>1001852.0000000001</v>
      </c>
      <c r="F82" s="222">
        <f t="shared" si="46"/>
        <v>1001852.0000000001</v>
      </c>
      <c r="G82" s="222">
        <f t="shared" si="46"/>
        <v>1001852.0000000001</v>
      </c>
      <c r="H82" s="222">
        <f t="shared" si="46"/>
        <v>1001852.0000000001</v>
      </c>
      <c r="I82" s="222">
        <f t="shared" si="46"/>
        <v>1001852.0000000001</v>
      </c>
      <c r="J82" s="222">
        <f t="shared" si="46"/>
        <v>1001852.0000000001</v>
      </c>
      <c r="K82" s="222">
        <f t="shared" si="46"/>
        <v>1001852.0000000001</v>
      </c>
      <c r="L82" s="222">
        <f t="shared" si="46"/>
        <v>1001852.0000000001</v>
      </c>
      <c r="M82" s="222">
        <f t="shared" si="46"/>
        <v>1001852.0000000001</v>
      </c>
      <c r="N82" s="222">
        <f t="shared" si="46"/>
        <v>1001852.0000000001</v>
      </c>
      <c r="O82" s="222">
        <f t="shared" si="46"/>
        <v>1001852.0000000001</v>
      </c>
      <c r="P82" s="222">
        <f t="shared" si="46"/>
        <v>1001852.0000000001</v>
      </c>
      <c r="Q82" s="222">
        <f t="shared" si="46"/>
        <v>1001852.0000000001</v>
      </c>
      <c r="R82" s="222">
        <f t="shared" si="46"/>
        <v>1001852.0000000001</v>
      </c>
      <c r="S82" s="222">
        <f t="shared" si="46"/>
        <v>1001852.0000000001</v>
      </c>
      <c r="T82" s="222">
        <f t="shared" si="46"/>
        <v>1001852.0000000001</v>
      </c>
      <c r="U82" s="222">
        <f t="shared" si="46"/>
        <v>1001852.0000000001</v>
      </c>
      <c r="V82" s="222">
        <f t="shared" si="46"/>
        <v>1001852.0000000001</v>
      </c>
      <c r="W82" s="222">
        <f t="shared" si="46"/>
        <v>1001852.0000000001</v>
      </c>
      <c r="X82" s="222">
        <f t="shared" si="46"/>
        <v>1001852.0000000001</v>
      </c>
      <c r="Y82" s="222">
        <f t="shared" si="46"/>
        <v>1001852.0000000001</v>
      </c>
      <c r="Z82" s="222">
        <f t="shared" si="46"/>
        <v>1001852.0000000001</v>
      </c>
      <c r="AA82" s="222">
        <f t="shared" si="46"/>
        <v>1001852.0000000001</v>
      </c>
      <c r="AB82" s="222">
        <f t="shared" si="46"/>
        <v>1001852.0000000001</v>
      </c>
      <c r="AC82" s="222">
        <f t="shared" si="46"/>
        <v>1001852.0000000001</v>
      </c>
      <c r="AD82" s="222">
        <f t="shared" si="46"/>
        <v>1001852.0000000001</v>
      </c>
      <c r="AE82" s="222">
        <f t="shared" si="46"/>
        <v>1001852.0000000001</v>
      </c>
      <c r="AF82" s="222">
        <f t="shared" si="46"/>
        <v>1001852.0000000001</v>
      </c>
      <c r="AG82" s="222">
        <f t="shared" si="46"/>
        <v>1001852.0000000001</v>
      </c>
      <c r="AH82" s="222">
        <f>AH78*$B$64</f>
        <v>1001852.0000000001</v>
      </c>
    </row>
    <row r="83" spans="1:34" s="140" customFormat="1" ht="13.5" x14ac:dyDescent="0.25">
      <c r="A83" s="217" t="s">
        <v>365</v>
      </c>
      <c r="B83" s="212" t="s">
        <v>77</v>
      </c>
      <c r="C83" s="222">
        <f>C79*$B$84</f>
        <v>1820981.3500000003</v>
      </c>
      <c r="D83" s="222">
        <f t="shared" ref="D83:AG83" si="47">D79*$B$64</f>
        <v>1820981.3500000003</v>
      </c>
      <c r="E83" s="222">
        <f t="shared" si="47"/>
        <v>1820981.3500000003</v>
      </c>
      <c r="F83" s="222">
        <f t="shared" si="47"/>
        <v>1820981.3500000003</v>
      </c>
      <c r="G83" s="222">
        <f t="shared" si="47"/>
        <v>1820981.3500000003</v>
      </c>
      <c r="H83" s="222">
        <f t="shared" si="47"/>
        <v>1820981.3500000003</v>
      </c>
      <c r="I83" s="222">
        <f t="shared" si="47"/>
        <v>1820981.3500000003</v>
      </c>
      <c r="J83" s="222">
        <f t="shared" si="47"/>
        <v>1820981.3500000003</v>
      </c>
      <c r="K83" s="222">
        <f t="shared" si="47"/>
        <v>1820981.3500000003</v>
      </c>
      <c r="L83" s="222">
        <f t="shared" si="47"/>
        <v>1820981.3500000003</v>
      </c>
      <c r="M83" s="222">
        <f t="shared" si="47"/>
        <v>1820981.3500000003</v>
      </c>
      <c r="N83" s="222">
        <f t="shared" si="47"/>
        <v>1820981.3500000003</v>
      </c>
      <c r="O83" s="222">
        <f t="shared" si="47"/>
        <v>1820981.3500000003</v>
      </c>
      <c r="P83" s="222">
        <f t="shared" si="47"/>
        <v>1820981.3500000003</v>
      </c>
      <c r="Q83" s="222">
        <f t="shared" si="47"/>
        <v>1820981.3500000003</v>
      </c>
      <c r="R83" s="222">
        <f t="shared" si="47"/>
        <v>1820981.3500000003</v>
      </c>
      <c r="S83" s="222">
        <f t="shared" si="47"/>
        <v>1820981.3500000003</v>
      </c>
      <c r="T83" s="222">
        <f t="shared" si="47"/>
        <v>1820981.3500000003</v>
      </c>
      <c r="U83" s="222">
        <f t="shared" si="47"/>
        <v>1820981.3500000003</v>
      </c>
      <c r="V83" s="222">
        <f t="shared" si="47"/>
        <v>1820981.3500000003</v>
      </c>
      <c r="W83" s="222">
        <f t="shared" si="47"/>
        <v>1820981.3500000003</v>
      </c>
      <c r="X83" s="222">
        <f t="shared" si="47"/>
        <v>1820981.3500000003</v>
      </c>
      <c r="Y83" s="222">
        <f t="shared" si="47"/>
        <v>1820981.3500000003</v>
      </c>
      <c r="Z83" s="222">
        <f t="shared" si="47"/>
        <v>1820981.3500000003</v>
      </c>
      <c r="AA83" s="222">
        <f t="shared" si="47"/>
        <v>1820981.3500000003</v>
      </c>
      <c r="AB83" s="222">
        <f t="shared" si="47"/>
        <v>1820981.3500000003</v>
      </c>
      <c r="AC83" s="222">
        <f t="shared" si="47"/>
        <v>1820981.3500000003</v>
      </c>
      <c r="AD83" s="222">
        <f t="shared" si="47"/>
        <v>1820981.3500000003</v>
      </c>
      <c r="AE83" s="222">
        <f t="shared" si="47"/>
        <v>1820981.3500000003</v>
      </c>
      <c r="AF83" s="222">
        <f t="shared" si="47"/>
        <v>1820981.3500000003</v>
      </c>
      <c r="AG83" s="222">
        <f t="shared" si="47"/>
        <v>1820981.3500000003</v>
      </c>
      <c r="AH83" s="222">
        <f>AH79*$B$64</f>
        <v>1820981.3500000003</v>
      </c>
    </row>
    <row r="84" spans="1:34" s="140" customFormat="1" ht="13.5" x14ac:dyDescent="0.2">
      <c r="A84" s="148" t="s">
        <v>78</v>
      </c>
      <c r="B84" s="3">
        <v>365</v>
      </c>
    </row>
    <row r="85" spans="1:34" s="140" customFormat="1" ht="13.5" x14ac:dyDescent="0.2">
      <c r="A85" s="148" t="s">
        <v>79</v>
      </c>
      <c r="B85" s="3">
        <v>30</v>
      </c>
    </row>
    <row r="86" spans="1:34" s="140" customFormat="1" ht="13.5" hidden="1" x14ac:dyDescent="0.2">
      <c r="A86" s="235"/>
      <c r="B86" s="236"/>
    </row>
    <row r="87" spans="1:34" ht="15.75" x14ac:dyDescent="0.2">
      <c r="A87" s="233" t="s">
        <v>403</v>
      </c>
    </row>
    <row r="88" spans="1:34" s="140" customFormat="1" ht="13.5" x14ac:dyDescent="0.25">
      <c r="A88" s="17" t="s">
        <v>262</v>
      </c>
      <c r="B88" s="18" t="s">
        <v>2</v>
      </c>
      <c r="C88" s="18">
        <f>C48</f>
        <v>2013</v>
      </c>
      <c r="D88" s="18">
        <f>C88+1</f>
        <v>2014</v>
      </c>
      <c r="E88" s="18">
        <f t="shared" ref="E88:AH88" si="48">D88+1</f>
        <v>2015</v>
      </c>
      <c r="F88" s="18">
        <f t="shared" si="48"/>
        <v>2016</v>
      </c>
      <c r="G88" s="18">
        <f t="shared" si="48"/>
        <v>2017</v>
      </c>
      <c r="H88" s="18">
        <f t="shared" si="48"/>
        <v>2018</v>
      </c>
      <c r="I88" s="18">
        <f t="shared" si="48"/>
        <v>2019</v>
      </c>
      <c r="J88" s="18">
        <f t="shared" si="48"/>
        <v>2020</v>
      </c>
      <c r="K88" s="18">
        <f t="shared" si="48"/>
        <v>2021</v>
      </c>
      <c r="L88" s="18">
        <f t="shared" si="48"/>
        <v>2022</v>
      </c>
      <c r="M88" s="18">
        <f t="shared" si="48"/>
        <v>2023</v>
      </c>
      <c r="N88" s="18">
        <f t="shared" si="48"/>
        <v>2024</v>
      </c>
      <c r="O88" s="18">
        <f t="shared" si="48"/>
        <v>2025</v>
      </c>
      <c r="P88" s="18">
        <f t="shared" si="48"/>
        <v>2026</v>
      </c>
      <c r="Q88" s="18">
        <f t="shared" si="48"/>
        <v>2027</v>
      </c>
      <c r="R88" s="18">
        <f t="shared" si="48"/>
        <v>2028</v>
      </c>
      <c r="S88" s="18">
        <f t="shared" si="48"/>
        <v>2029</v>
      </c>
      <c r="T88" s="18">
        <f t="shared" si="48"/>
        <v>2030</v>
      </c>
      <c r="U88" s="18">
        <f t="shared" si="48"/>
        <v>2031</v>
      </c>
      <c r="V88" s="18">
        <f t="shared" si="48"/>
        <v>2032</v>
      </c>
      <c r="W88" s="18">
        <f t="shared" si="48"/>
        <v>2033</v>
      </c>
      <c r="X88" s="18">
        <f t="shared" si="48"/>
        <v>2034</v>
      </c>
      <c r="Y88" s="18">
        <f t="shared" si="48"/>
        <v>2035</v>
      </c>
      <c r="Z88" s="18">
        <f t="shared" si="48"/>
        <v>2036</v>
      </c>
      <c r="AA88" s="18">
        <f t="shared" si="48"/>
        <v>2037</v>
      </c>
      <c r="AB88" s="18">
        <f t="shared" si="48"/>
        <v>2038</v>
      </c>
      <c r="AC88" s="18">
        <f t="shared" si="48"/>
        <v>2039</v>
      </c>
      <c r="AD88" s="18">
        <f t="shared" si="48"/>
        <v>2040</v>
      </c>
      <c r="AE88" s="18">
        <f t="shared" si="48"/>
        <v>2041</v>
      </c>
      <c r="AF88" s="18">
        <f t="shared" si="48"/>
        <v>2042</v>
      </c>
      <c r="AG88" s="18">
        <f t="shared" si="48"/>
        <v>2043</v>
      </c>
      <c r="AH88" s="18">
        <f t="shared" si="48"/>
        <v>2044</v>
      </c>
    </row>
    <row r="89" spans="1:34" s="140" customFormat="1" ht="27" x14ac:dyDescent="0.25">
      <c r="A89" s="13" t="s">
        <v>327</v>
      </c>
      <c r="B89" s="2" t="s">
        <v>9</v>
      </c>
      <c r="C89" s="14">
        <f>'Założenia-dane wejściowe '!D62</f>
        <v>57524</v>
      </c>
      <c r="D89" s="14">
        <f>'Założenia-dane wejściowe '!E62</f>
        <v>57524</v>
      </c>
      <c r="E89" s="14">
        <f>'Założenia-dane wejściowe '!F62</f>
        <v>57524</v>
      </c>
      <c r="F89" s="14">
        <f>'Założenia-dane wejściowe '!G62</f>
        <v>57524</v>
      </c>
      <c r="G89" s="14">
        <f>'Założenia-dane wejściowe '!H62</f>
        <v>57524</v>
      </c>
      <c r="H89" s="14">
        <f>'Założenia-dane wejściowe '!I62</f>
        <v>57524</v>
      </c>
      <c r="I89" s="14">
        <f>'Założenia-dane wejściowe '!J62</f>
        <v>57524</v>
      </c>
      <c r="J89" s="14">
        <f>'Założenia-dane wejściowe '!K62</f>
        <v>57524</v>
      </c>
      <c r="K89" s="14">
        <f>'Założenia-dane wejściowe '!L62</f>
        <v>64124</v>
      </c>
      <c r="L89" s="14">
        <f>'Założenia-dane wejściowe '!M62</f>
        <v>64124</v>
      </c>
      <c r="M89" s="14">
        <f>'Założenia-dane wejściowe '!N62</f>
        <v>64124</v>
      </c>
      <c r="N89" s="14">
        <f>'Założenia-dane wejściowe '!O62</f>
        <v>64124</v>
      </c>
      <c r="O89" s="14">
        <f>'Założenia-dane wejściowe '!P62</f>
        <v>64124</v>
      </c>
      <c r="P89" s="14">
        <f>'Założenia-dane wejściowe '!Q62</f>
        <v>64124</v>
      </c>
      <c r="Q89" s="14">
        <f>'Założenia-dane wejściowe '!R62</f>
        <v>64124</v>
      </c>
      <c r="R89" s="14">
        <f>'Założenia-dane wejściowe '!S62</f>
        <v>64124</v>
      </c>
      <c r="S89" s="14">
        <f>'Założenia-dane wejściowe '!T62</f>
        <v>64124</v>
      </c>
      <c r="T89" s="14">
        <f>'Założenia-dane wejściowe '!U62</f>
        <v>64124</v>
      </c>
      <c r="U89" s="14">
        <f>'Założenia-dane wejściowe '!V62</f>
        <v>64124</v>
      </c>
      <c r="V89" s="14">
        <f>'Założenia-dane wejściowe '!W62</f>
        <v>64124</v>
      </c>
      <c r="W89" s="14">
        <f>'Założenia-dane wejściowe '!X62</f>
        <v>64124</v>
      </c>
      <c r="X89" s="14">
        <f>'Założenia-dane wejściowe '!Y62</f>
        <v>64124</v>
      </c>
      <c r="Y89" s="14">
        <f>'Założenia-dane wejściowe '!Z62</f>
        <v>64124</v>
      </c>
      <c r="Z89" s="14">
        <f>'Założenia-dane wejściowe '!AA62</f>
        <v>64124</v>
      </c>
      <c r="AA89" s="14">
        <f>'Założenia-dane wejściowe '!AB62</f>
        <v>64124</v>
      </c>
      <c r="AB89" s="14">
        <f>'Założenia-dane wejściowe '!AC62</f>
        <v>64124</v>
      </c>
      <c r="AC89" s="14">
        <f>'Założenia-dane wejściowe '!AD62</f>
        <v>64124</v>
      </c>
      <c r="AD89" s="14">
        <f>'Założenia-dane wejściowe '!AE62</f>
        <v>64124</v>
      </c>
      <c r="AE89" s="14">
        <f>'Założenia-dane wejściowe '!AF62</f>
        <v>64124</v>
      </c>
      <c r="AF89" s="14">
        <f>'Założenia-dane wejściowe '!AG62</f>
        <v>64124</v>
      </c>
      <c r="AG89" s="14">
        <f>'Założenia-dane wejściowe '!AH62</f>
        <v>64124</v>
      </c>
      <c r="AH89" s="14">
        <f>'Założenia-dane wejściowe '!AI62</f>
        <v>64124</v>
      </c>
    </row>
    <row r="90" spans="1:34" s="140" customFormat="1" ht="27" x14ac:dyDescent="0.25">
      <c r="A90" s="16" t="s">
        <v>272</v>
      </c>
      <c r="B90" s="2" t="s">
        <v>21</v>
      </c>
      <c r="C90" s="442">
        <f>'Założenia-dane wejściowe '!D63</f>
        <v>0.09</v>
      </c>
      <c r="D90" s="442">
        <f>'Założenia-dane wejściowe '!E63</f>
        <v>0.09</v>
      </c>
      <c r="E90" s="442">
        <f>'Założenia-dane wejściowe '!F63</f>
        <v>0.09</v>
      </c>
      <c r="F90" s="442">
        <f>'Założenia-dane wejściowe '!G63</f>
        <v>0.09</v>
      </c>
      <c r="G90" s="442">
        <f>'Założenia-dane wejściowe '!H63</f>
        <v>0.09</v>
      </c>
      <c r="H90" s="442">
        <f>'Założenia-dane wejściowe '!I63</f>
        <v>0.09</v>
      </c>
      <c r="I90" s="442">
        <f>'Założenia-dane wejściowe '!J63</f>
        <v>0.09</v>
      </c>
      <c r="J90" s="442">
        <f>'Założenia-dane wejściowe '!K63</f>
        <v>0.09</v>
      </c>
      <c r="K90" s="442">
        <f>'Założenia-dane wejściowe '!L63</f>
        <v>0.09</v>
      </c>
      <c r="L90" s="442">
        <f>'Założenia-dane wejściowe '!M63</f>
        <v>0.09</v>
      </c>
      <c r="M90" s="442">
        <f>'Założenia-dane wejściowe '!N63</f>
        <v>0.09</v>
      </c>
      <c r="N90" s="442">
        <f>'Założenia-dane wejściowe '!O63</f>
        <v>0.09</v>
      </c>
      <c r="O90" s="442">
        <f>'Założenia-dane wejściowe '!P63</f>
        <v>0.09</v>
      </c>
      <c r="P90" s="442">
        <f>'Założenia-dane wejściowe '!Q63</f>
        <v>0.09</v>
      </c>
      <c r="Q90" s="442">
        <f>'Założenia-dane wejściowe '!R63</f>
        <v>0.09</v>
      </c>
      <c r="R90" s="442">
        <f>'Założenia-dane wejściowe '!S63</f>
        <v>0.09</v>
      </c>
      <c r="S90" s="442">
        <f>'Założenia-dane wejściowe '!T63</f>
        <v>0.09</v>
      </c>
      <c r="T90" s="442">
        <f>'Założenia-dane wejściowe '!U63</f>
        <v>0.09</v>
      </c>
      <c r="U90" s="442">
        <f>'Założenia-dane wejściowe '!V63</f>
        <v>0.09</v>
      </c>
      <c r="V90" s="442">
        <f>'Założenia-dane wejściowe '!W63</f>
        <v>0.09</v>
      </c>
      <c r="W90" s="442">
        <f>'Założenia-dane wejściowe '!X63</f>
        <v>0.09</v>
      </c>
      <c r="X90" s="442">
        <f>'Założenia-dane wejściowe '!Y63</f>
        <v>0.09</v>
      </c>
      <c r="Y90" s="442">
        <f>'Założenia-dane wejściowe '!Z63</f>
        <v>0.09</v>
      </c>
      <c r="Z90" s="442">
        <f>'Założenia-dane wejściowe '!AA63</f>
        <v>0.09</v>
      </c>
      <c r="AA90" s="442">
        <f>'Założenia-dane wejściowe '!AB63</f>
        <v>0.09</v>
      </c>
      <c r="AB90" s="442">
        <f>'Założenia-dane wejściowe '!AC63</f>
        <v>0.09</v>
      </c>
      <c r="AC90" s="442">
        <f>'Założenia-dane wejściowe '!AD63</f>
        <v>0.09</v>
      </c>
      <c r="AD90" s="442">
        <f>'Założenia-dane wejściowe '!AE63</f>
        <v>0.09</v>
      </c>
      <c r="AE90" s="442">
        <f>'Założenia-dane wejściowe '!AF63</f>
        <v>0.09</v>
      </c>
      <c r="AF90" s="442">
        <f>'Założenia-dane wejściowe '!AG63</f>
        <v>0.09</v>
      </c>
      <c r="AG90" s="442">
        <f>'Założenia-dane wejściowe '!AH63</f>
        <v>0.09</v>
      </c>
      <c r="AH90" s="442">
        <f>'Założenia-dane wejściowe '!AI63</f>
        <v>0.09</v>
      </c>
    </row>
    <row r="91" spans="1:34" s="140" customFormat="1" ht="13.5" x14ac:dyDescent="0.25">
      <c r="A91" s="21" t="s">
        <v>264</v>
      </c>
      <c r="B91" s="2" t="s">
        <v>10</v>
      </c>
      <c r="C91" s="64">
        <f>'Założenia-dane wejściowe '!D64</f>
        <v>5.47</v>
      </c>
      <c r="D91" s="64">
        <f>'Założenia-dane wejściowe '!E64</f>
        <v>5.47</v>
      </c>
      <c r="E91" s="64">
        <f>'Założenia-dane wejściowe '!F64</f>
        <v>5.47</v>
      </c>
      <c r="F91" s="64">
        <f>'Założenia-dane wejściowe '!G64</f>
        <v>5.47</v>
      </c>
      <c r="G91" s="64">
        <f>'Założenia-dane wejściowe '!H64</f>
        <v>5.47</v>
      </c>
      <c r="H91" s="64">
        <f>'Założenia-dane wejściowe '!I64</f>
        <v>5.47</v>
      </c>
      <c r="I91" s="64">
        <f>'Założenia-dane wejściowe '!J64</f>
        <v>5.47</v>
      </c>
      <c r="J91" s="64">
        <f>'Założenia-dane wejściowe '!K64</f>
        <v>5.47</v>
      </c>
      <c r="K91" s="64">
        <f>'Założenia-dane wejściowe '!L64</f>
        <v>5.47</v>
      </c>
      <c r="L91" s="64">
        <f>'Założenia-dane wejściowe '!M64</f>
        <v>5.47</v>
      </c>
      <c r="M91" s="64">
        <f>'Założenia-dane wejściowe '!N64</f>
        <v>5.47</v>
      </c>
      <c r="N91" s="64">
        <f>'Założenia-dane wejściowe '!O64</f>
        <v>5.47</v>
      </c>
      <c r="O91" s="64">
        <f>'Założenia-dane wejściowe '!P64</f>
        <v>5.47</v>
      </c>
      <c r="P91" s="64">
        <f>'Założenia-dane wejściowe '!Q64</f>
        <v>5.47</v>
      </c>
      <c r="Q91" s="64">
        <f>'Założenia-dane wejściowe '!R64</f>
        <v>5.47</v>
      </c>
      <c r="R91" s="64">
        <f>'Założenia-dane wejściowe '!S64</f>
        <v>5.47</v>
      </c>
      <c r="S91" s="64">
        <f>'Założenia-dane wejściowe '!T64</f>
        <v>5.47</v>
      </c>
      <c r="T91" s="64">
        <f>'Założenia-dane wejściowe '!U64</f>
        <v>5.47</v>
      </c>
      <c r="U91" s="64">
        <f>'Założenia-dane wejściowe '!V64</f>
        <v>5.47</v>
      </c>
      <c r="V91" s="64">
        <f>'Założenia-dane wejściowe '!W64</f>
        <v>5.47</v>
      </c>
      <c r="W91" s="64">
        <f>'Założenia-dane wejściowe '!X64</f>
        <v>5.47</v>
      </c>
      <c r="X91" s="64">
        <f>'Założenia-dane wejściowe '!Y64</f>
        <v>5.47</v>
      </c>
      <c r="Y91" s="64">
        <f>'Założenia-dane wejściowe '!Z64</f>
        <v>5.47</v>
      </c>
      <c r="Z91" s="64">
        <f>'Założenia-dane wejściowe '!AA64</f>
        <v>5.47</v>
      </c>
      <c r="AA91" s="64">
        <f>'Założenia-dane wejściowe '!AB64</f>
        <v>5.47</v>
      </c>
      <c r="AB91" s="64">
        <f>'Założenia-dane wejściowe '!AC64</f>
        <v>5.47</v>
      </c>
      <c r="AC91" s="64">
        <f>'Założenia-dane wejściowe '!AD64</f>
        <v>5.47</v>
      </c>
      <c r="AD91" s="64">
        <f>'Założenia-dane wejściowe '!AE64</f>
        <v>5.47</v>
      </c>
      <c r="AE91" s="64">
        <f>'Założenia-dane wejściowe '!AF64</f>
        <v>5.47</v>
      </c>
      <c r="AF91" s="64">
        <f>'Założenia-dane wejściowe '!AG64</f>
        <v>5.47</v>
      </c>
      <c r="AG91" s="64">
        <f>'Założenia-dane wejściowe '!AH64</f>
        <v>5.47</v>
      </c>
      <c r="AH91" s="64">
        <f>'Założenia-dane wejściowe '!AI64</f>
        <v>5.47</v>
      </c>
    </row>
    <row r="92" spans="1:34" s="140" customFormat="1" ht="27" x14ac:dyDescent="0.25">
      <c r="A92" s="13" t="s">
        <v>275</v>
      </c>
      <c r="B92" s="2" t="s">
        <v>12</v>
      </c>
      <c r="C92" s="14">
        <f>'Założenia-dane wejściowe '!D65</f>
        <v>3431</v>
      </c>
      <c r="D92" s="14">
        <f>'Założenia-dane wejściowe '!E65</f>
        <v>3431</v>
      </c>
      <c r="E92" s="14">
        <f>'Założenia-dane wejściowe '!F65</f>
        <v>3431</v>
      </c>
      <c r="F92" s="14">
        <f>'Założenia-dane wejściowe '!G65</f>
        <v>3431</v>
      </c>
      <c r="G92" s="14">
        <f>'Założenia-dane wejściowe '!H65</f>
        <v>3431</v>
      </c>
      <c r="H92" s="14">
        <f>'Założenia-dane wejściowe '!I65</f>
        <v>3431</v>
      </c>
      <c r="I92" s="14">
        <f>'Założenia-dane wejściowe '!J65</f>
        <v>3431</v>
      </c>
      <c r="J92" s="14">
        <f>'Założenia-dane wejściowe '!K65</f>
        <v>3431</v>
      </c>
      <c r="K92" s="14">
        <f>'Założenia-dane wejściowe '!L65</f>
        <v>3441</v>
      </c>
      <c r="L92" s="14">
        <f>'Założenia-dane wejściowe '!M65</f>
        <v>3441</v>
      </c>
      <c r="M92" s="14">
        <f>'Założenia-dane wejściowe '!N65</f>
        <v>3441</v>
      </c>
      <c r="N92" s="14">
        <f>'Założenia-dane wejściowe '!O65</f>
        <v>3441</v>
      </c>
      <c r="O92" s="14">
        <f>'Założenia-dane wejściowe '!P65</f>
        <v>3441</v>
      </c>
      <c r="P92" s="14">
        <f>'Założenia-dane wejściowe '!Q65</f>
        <v>3441</v>
      </c>
      <c r="Q92" s="14">
        <f>'Założenia-dane wejściowe '!R65</f>
        <v>3441</v>
      </c>
      <c r="R92" s="14">
        <f>'Założenia-dane wejściowe '!S65</f>
        <v>3441</v>
      </c>
      <c r="S92" s="14">
        <f>'Założenia-dane wejściowe '!T65</f>
        <v>3441</v>
      </c>
      <c r="T92" s="14">
        <f>'Założenia-dane wejściowe '!U65</f>
        <v>3441</v>
      </c>
      <c r="U92" s="14">
        <f>'Założenia-dane wejściowe '!V65</f>
        <v>3441</v>
      </c>
      <c r="V92" s="14">
        <f>'Założenia-dane wejściowe '!W65</f>
        <v>3441</v>
      </c>
      <c r="W92" s="14">
        <f>'Założenia-dane wejściowe '!X65</f>
        <v>3441</v>
      </c>
      <c r="X92" s="14">
        <f>'Założenia-dane wejściowe '!Y65</f>
        <v>3441</v>
      </c>
      <c r="Y92" s="14">
        <f>'Założenia-dane wejściowe '!Z65</f>
        <v>3441</v>
      </c>
      <c r="Z92" s="14">
        <f>'Założenia-dane wejściowe '!AA65</f>
        <v>3441</v>
      </c>
      <c r="AA92" s="14">
        <f>'Założenia-dane wejściowe '!AB65</f>
        <v>3441</v>
      </c>
      <c r="AB92" s="14">
        <f>'Założenia-dane wejściowe '!AC65</f>
        <v>3441</v>
      </c>
      <c r="AC92" s="14">
        <f>'Założenia-dane wejściowe '!AD65</f>
        <v>3441</v>
      </c>
      <c r="AD92" s="14">
        <f>'Założenia-dane wejściowe '!AE65</f>
        <v>3441</v>
      </c>
      <c r="AE92" s="14">
        <f>'Założenia-dane wejściowe '!AF65</f>
        <v>3441</v>
      </c>
      <c r="AF92" s="14">
        <f>'Założenia-dane wejściowe '!AG65</f>
        <v>3441</v>
      </c>
      <c r="AG92" s="14">
        <f>'Założenia-dane wejściowe '!AH65</f>
        <v>3441</v>
      </c>
      <c r="AH92" s="14">
        <f>'Założenia-dane wejściowe '!AI65</f>
        <v>3441</v>
      </c>
    </row>
    <row r="93" spans="1:34" s="140" customFormat="1" ht="27" x14ac:dyDescent="0.25">
      <c r="A93" s="13" t="s">
        <v>271</v>
      </c>
      <c r="B93" s="2" t="s">
        <v>13</v>
      </c>
      <c r="C93" s="442">
        <f>'Założenia-dane wejściowe '!D66</f>
        <v>1.04</v>
      </c>
      <c r="D93" s="442">
        <f>'Założenia-dane wejściowe '!E66</f>
        <v>1.04</v>
      </c>
      <c r="E93" s="442">
        <f>'Założenia-dane wejściowe '!F66</f>
        <v>1.04</v>
      </c>
      <c r="F93" s="442">
        <f>'Założenia-dane wejściowe '!G66</f>
        <v>1.04</v>
      </c>
      <c r="G93" s="442">
        <f>'Założenia-dane wejściowe '!H66</f>
        <v>1.04</v>
      </c>
      <c r="H93" s="442">
        <f>'Założenia-dane wejściowe '!I66</f>
        <v>1.04</v>
      </c>
      <c r="I93" s="442">
        <f>'Założenia-dane wejściowe '!J66</f>
        <v>1.04</v>
      </c>
      <c r="J93" s="442">
        <f>'Założenia-dane wejściowe '!K66</f>
        <v>1.04</v>
      </c>
      <c r="K93" s="442">
        <f>'Założenia-dane wejściowe '!L66</f>
        <v>1.04</v>
      </c>
      <c r="L93" s="442">
        <f>'Założenia-dane wejściowe '!M66</f>
        <v>1.04</v>
      </c>
      <c r="M93" s="442">
        <f>'Założenia-dane wejściowe '!N66</f>
        <v>1.04</v>
      </c>
      <c r="N93" s="442">
        <f>'Założenia-dane wejściowe '!O66</f>
        <v>1.04</v>
      </c>
      <c r="O93" s="442">
        <f>'Założenia-dane wejściowe '!P66</f>
        <v>1.04</v>
      </c>
      <c r="P93" s="442">
        <f>'Założenia-dane wejściowe '!Q66</f>
        <v>1.04</v>
      </c>
      <c r="Q93" s="442">
        <f>'Założenia-dane wejściowe '!R66</f>
        <v>1.04</v>
      </c>
      <c r="R93" s="442">
        <f>'Założenia-dane wejściowe '!S66</f>
        <v>1.04</v>
      </c>
      <c r="S93" s="442">
        <f>'Założenia-dane wejściowe '!T66</f>
        <v>1.04</v>
      </c>
      <c r="T93" s="442">
        <f>'Założenia-dane wejściowe '!U66</f>
        <v>1.04</v>
      </c>
      <c r="U93" s="442">
        <f>'Założenia-dane wejściowe '!V66</f>
        <v>1.04</v>
      </c>
      <c r="V93" s="442">
        <f>'Założenia-dane wejściowe '!W66</f>
        <v>1.04</v>
      </c>
      <c r="W93" s="442">
        <f>'Założenia-dane wejściowe '!X66</f>
        <v>1.04</v>
      </c>
      <c r="X93" s="442">
        <f>'Założenia-dane wejściowe '!Y66</f>
        <v>1.04</v>
      </c>
      <c r="Y93" s="442">
        <f>'Założenia-dane wejściowe '!Z66</f>
        <v>1.04</v>
      </c>
      <c r="Z93" s="442">
        <f>'Założenia-dane wejściowe '!AA66</f>
        <v>1.04</v>
      </c>
      <c r="AA93" s="442">
        <f>'Założenia-dane wejściowe '!AB66</f>
        <v>1.04</v>
      </c>
      <c r="AB93" s="442">
        <f>'Założenia-dane wejściowe '!AC66</f>
        <v>1.04</v>
      </c>
      <c r="AC93" s="442">
        <f>'Założenia-dane wejściowe '!AD66</f>
        <v>1.04</v>
      </c>
      <c r="AD93" s="442">
        <f>'Założenia-dane wejściowe '!AE66</f>
        <v>1.04</v>
      </c>
      <c r="AE93" s="442">
        <f>'Założenia-dane wejściowe '!AF66</f>
        <v>1.04</v>
      </c>
      <c r="AF93" s="442">
        <f>'Założenia-dane wejściowe '!AG66</f>
        <v>1.04</v>
      </c>
      <c r="AG93" s="442">
        <f>'Założenia-dane wejściowe '!AH66</f>
        <v>1.04</v>
      </c>
      <c r="AH93" s="442">
        <f>'Założenia-dane wejściowe '!AI66</f>
        <v>1.04</v>
      </c>
    </row>
    <row r="94" spans="1:34" s="140" customFormat="1" ht="40.5" x14ac:dyDescent="0.25">
      <c r="A94" s="13" t="s">
        <v>276</v>
      </c>
      <c r="B94" s="2" t="s">
        <v>12</v>
      </c>
      <c r="C94" s="14">
        <f>'Założenia-dane wejściowe '!D67</f>
        <v>31107</v>
      </c>
      <c r="D94" s="14">
        <f>'Założenia-dane wejściowe '!E67</f>
        <v>31107</v>
      </c>
      <c r="E94" s="14">
        <f>'Założenia-dane wejściowe '!F67</f>
        <v>31107</v>
      </c>
      <c r="F94" s="14">
        <f>'Założenia-dane wejściowe '!G67</f>
        <v>31107</v>
      </c>
      <c r="G94" s="14">
        <f>'Założenia-dane wejściowe '!H67</f>
        <v>31107</v>
      </c>
      <c r="H94" s="14">
        <f>'Założenia-dane wejściowe '!I67</f>
        <v>31107</v>
      </c>
      <c r="I94" s="14">
        <f>'Założenia-dane wejściowe '!J67</f>
        <v>31107</v>
      </c>
      <c r="J94" s="14">
        <f>'Założenia-dane wejściowe '!K67</f>
        <v>31107</v>
      </c>
      <c r="K94" s="14">
        <f>'Założenia-dane wejściowe '!L67</f>
        <v>31507</v>
      </c>
      <c r="L94" s="14">
        <f>'Założenia-dane wejściowe '!M67</f>
        <v>31507</v>
      </c>
      <c r="M94" s="14">
        <f>'Założenia-dane wejściowe '!N67</f>
        <v>31507</v>
      </c>
      <c r="N94" s="14">
        <f>'Założenia-dane wejściowe '!O67</f>
        <v>31507</v>
      </c>
      <c r="O94" s="14">
        <f>'Założenia-dane wejściowe '!P67</f>
        <v>31507</v>
      </c>
      <c r="P94" s="14">
        <f>'Założenia-dane wejściowe '!Q67</f>
        <v>31507</v>
      </c>
      <c r="Q94" s="14">
        <f>'Założenia-dane wejściowe '!R67</f>
        <v>31507</v>
      </c>
      <c r="R94" s="14">
        <f>'Założenia-dane wejściowe '!S67</f>
        <v>31507</v>
      </c>
      <c r="S94" s="14">
        <f>'Założenia-dane wejściowe '!T67</f>
        <v>31507</v>
      </c>
      <c r="T94" s="14">
        <f>'Założenia-dane wejściowe '!U67</f>
        <v>31507</v>
      </c>
      <c r="U94" s="14">
        <f>'Założenia-dane wejściowe '!V67</f>
        <v>31507</v>
      </c>
      <c r="V94" s="14">
        <f>'Założenia-dane wejściowe '!W67</f>
        <v>31507</v>
      </c>
      <c r="W94" s="14">
        <f>'Założenia-dane wejściowe '!X67</f>
        <v>31507</v>
      </c>
      <c r="X94" s="14">
        <f>'Założenia-dane wejściowe '!Y67</f>
        <v>31507</v>
      </c>
      <c r="Y94" s="14">
        <f>'Założenia-dane wejściowe '!Z67</f>
        <v>31507</v>
      </c>
      <c r="Z94" s="14">
        <f>'Założenia-dane wejściowe '!AA67</f>
        <v>31507</v>
      </c>
      <c r="AA94" s="14">
        <f>'Założenia-dane wejściowe '!AB67</f>
        <v>31507</v>
      </c>
      <c r="AB94" s="14">
        <f>'Założenia-dane wejściowe '!AC67</f>
        <v>31507</v>
      </c>
      <c r="AC94" s="14">
        <f>'Założenia-dane wejściowe '!AD67</f>
        <v>31507</v>
      </c>
      <c r="AD94" s="14">
        <f>'Założenia-dane wejściowe '!AE67</f>
        <v>31507</v>
      </c>
      <c r="AE94" s="14">
        <f>'Założenia-dane wejściowe '!AF67</f>
        <v>31507</v>
      </c>
      <c r="AF94" s="14">
        <f>'Założenia-dane wejściowe '!AG67</f>
        <v>31507</v>
      </c>
      <c r="AG94" s="14">
        <f>'Założenia-dane wejściowe '!AH67</f>
        <v>31507</v>
      </c>
      <c r="AH94" s="14">
        <f>'Założenia-dane wejściowe '!AI67</f>
        <v>31507</v>
      </c>
    </row>
    <row r="95" spans="1:34" s="140" customFormat="1" ht="27" x14ac:dyDescent="0.25">
      <c r="A95" s="13" t="s">
        <v>379</v>
      </c>
      <c r="B95" s="212" t="s">
        <v>13</v>
      </c>
      <c r="C95" s="442">
        <f>'Założenia-dane wejściowe '!D68</f>
        <v>0.17</v>
      </c>
      <c r="D95" s="442">
        <f>'Założenia-dane wejściowe '!E68</f>
        <v>0.17</v>
      </c>
      <c r="E95" s="442">
        <f>'Założenia-dane wejściowe '!F68</f>
        <v>0.17</v>
      </c>
      <c r="F95" s="442">
        <f>'Założenia-dane wejściowe '!G68</f>
        <v>0.17</v>
      </c>
      <c r="G95" s="442">
        <f>'Założenia-dane wejściowe '!H68</f>
        <v>0.17</v>
      </c>
      <c r="H95" s="442">
        <f>'Założenia-dane wejściowe '!I68</f>
        <v>0.17</v>
      </c>
      <c r="I95" s="442">
        <f>'Założenia-dane wejściowe '!J68</f>
        <v>0.17</v>
      </c>
      <c r="J95" s="442">
        <f>'Założenia-dane wejściowe '!K68</f>
        <v>0.17</v>
      </c>
      <c r="K95" s="442">
        <f>'Założenia-dane wejściowe '!L68</f>
        <v>0.17</v>
      </c>
      <c r="L95" s="442">
        <f>'Założenia-dane wejściowe '!M68</f>
        <v>0.17</v>
      </c>
      <c r="M95" s="442">
        <f>'Założenia-dane wejściowe '!N68</f>
        <v>0.17</v>
      </c>
      <c r="N95" s="442">
        <f>'Założenia-dane wejściowe '!O68</f>
        <v>0.17</v>
      </c>
      <c r="O95" s="442">
        <f>'Założenia-dane wejściowe '!P68</f>
        <v>0.17</v>
      </c>
      <c r="P95" s="442">
        <f>'Założenia-dane wejściowe '!Q68</f>
        <v>0.17</v>
      </c>
      <c r="Q95" s="442">
        <f>'Założenia-dane wejściowe '!R68</f>
        <v>0.17</v>
      </c>
      <c r="R95" s="442">
        <f>'Założenia-dane wejściowe '!S68</f>
        <v>0.17</v>
      </c>
      <c r="S95" s="442">
        <f>'Założenia-dane wejściowe '!T68</f>
        <v>0.17</v>
      </c>
      <c r="T95" s="442">
        <f>'Założenia-dane wejściowe '!U68</f>
        <v>0.17</v>
      </c>
      <c r="U95" s="442">
        <f>'Założenia-dane wejściowe '!V68</f>
        <v>0.17</v>
      </c>
      <c r="V95" s="442">
        <f>'Założenia-dane wejściowe '!W68</f>
        <v>0.17</v>
      </c>
      <c r="W95" s="442">
        <f>'Założenia-dane wejściowe '!X68</f>
        <v>0.17</v>
      </c>
      <c r="X95" s="442">
        <f>'Założenia-dane wejściowe '!Y68</f>
        <v>0.17</v>
      </c>
      <c r="Y95" s="442">
        <f>'Założenia-dane wejściowe '!Z68</f>
        <v>0.17</v>
      </c>
      <c r="Z95" s="442">
        <f>'Założenia-dane wejściowe '!AA68</f>
        <v>0.17</v>
      </c>
      <c r="AA95" s="442">
        <f>'Założenia-dane wejściowe '!AB68</f>
        <v>0.17</v>
      </c>
      <c r="AB95" s="442">
        <f>'Założenia-dane wejściowe '!AC68</f>
        <v>0.17</v>
      </c>
      <c r="AC95" s="442">
        <f>'Założenia-dane wejściowe '!AD68</f>
        <v>0.17</v>
      </c>
      <c r="AD95" s="442">
        <f>'Założenia-dane wejściowe '!AE68</f>
        <v>0.17</v>
      </c>
      <c r="AE95" s="442">
        <f>'Założenia-dane wejściowe '!AF68</f>
        <v>0.17</v>
      </c>
      <c r="AF95" s="442">
        <f>'Założenia-dane wejściowe '!AG68</f>
        <v>0.17</v>
      </c>
      <c r="AG95" s="442">
        <f>'Założenia-dane wejściowe '!AH68</f>
        <v>0.17</v>
      </c>
      <c r="AH95" s="442">
        <f>'Założenia-dane wejściowe '!AI68</f>
        <v>0.17</v>
      </c>
    </row>
    <row r="96" spans="1:34" s="140" customFormat="1" ht="13.5" x14ac:dyDescent="0.25">
      <c r="A96" s="213" t="str">
        <f>A56</f>
        <v>zużycie wody [m3/d]</v>
      </c>
      <c r="B96" s="214" t="s">
        <v>13</v>
      </c>
      <c r="C96" s="215">
        <f>C97+C98+C99</f>
        <v>37175.495199999998</v>
      </c>
      <c r="D96" s="215">
        <f>D97+D98+D99</f>
        <v>37175.495199999998</v>
      </c>
      <c r="E96" s="215">
        <f>E97+E98+E99</f>
        <v>37175.495199999998</v>
      </c>
      <c r="F96" s="216">
        <f>F97+F98+F99</f>
        <v>37175.495199999998</v>
      </c>
      <c r="G96" s="216">
        <f t="shared" ref="G96:AG96" si="49">G97+G98+G99</f>
        <v>37175.495199999998</v>
      </c>
      <c r="H96" s="216">
        <f t="shared" si="49"/>
        <v>37175.495199999998</v>
      </c>
      <c r="I96" s="216">
        <f t="shared" si="49"/>
        <v>37175.495199999998</v>
      </c>
      <c r="J96" s="216">
        <f t="shared" si="49"/>
        <v>37175.495199999998</v>
      </c>
      <c r="K96" s="216">
        <f t="shared" si="49"/>
        <v>40503.075199999999</v>
      </c>
      <c r="L96" s="216">
        <f t="shared" si="49"/>
        <v>40503.075199999999</v>
      </c>
      <c r="M96" s="216">
        <f t="shared" si="49"/>
        <v>40503.075199999999</v>
      </c>
      <c r="N96" s="216">
        <f t="shared" si="49"/>
        <v>40503.075199999999</v>
      </c>
      <c r="O96" s="216">
        <f t="shared" si="49"/>
        <v>40503.075199999999</v>
      </c>
      <c r="P96" s="216">
        <f t="shared" si="49"/>
        <v>40503.075199999999</v>
      </c>
      <c r="Q96" s="216">
        <f t="shared" si="49"/>
        <v>40503.075199999999</v>
      </c>
      <c r="R96" s="216">
        <f t="shared" si="49"/>
        <v>40503.075199999999</v>
      </c>
      <c r="S96" s="216">
        <f t="shared" si="49"/>
        <v>40503.075199999999</v>
      </c>
      <c r="T96" s="216">
        <f t="shared" si="49"/>
        <v>40503.075199999999</v>
      </c>
      <c r="U96" s="216">
        <f t="shared" si="49"/>
        <v>40503.075199999999</v>
      </c>
      <c r="V96" s="216">
        <f t="shared" si="49"/>
        <v>40503.075199999999</v>
      </c>
      <c r="W96" s="216">
        <f t="shared" si="49"/>
        <v>40503.075199999999</v>
      </c>
      <c r="X96" s="216">
        <f t="shared" si="49"/>
        <v>40503.075199999999</v>
      </c>
      <c r="Y96" s="216">
        <f t="shared" si="49"/>
        <v>40503.075199999999</v>
      </c>
      <c r="Z96" s="216">
        <f t="shared" si="49"/>
        <v>40503.075199999999</v>
      </c>
      <c r="AA96" s="216">
        <f t="shared" si="49"/>
        <v>40503.075199999999</v>
      </c>
      <c r="AB96" s="216">
        <f t="shared" si="49"/>
        <v>40503.075199999999</v>
      </c>
      <c r="AC96" s="216">
        <f t="shared" si="49"/>
        <v>40503.075199999999</v>
      </c>
      <c r="AD96" s="216">
        <f t="shared" si="49"/>
        <v>40503.075199999999</v>
      </c>
      <c r="AE96" s="216">
        <f t="shared" si="49"/>
        <v>40503.075199999999</v>
      </c>
      <c r="AF96" s="216">
        <f t="shared" si="49"/>
        <v>40503.075199999999</v>
      </c>
      <c r="AG96" s="216">
        <f t="shared" si="49"/>
        <v>40503.075199999999</v>
      </c>
      <c r="AH96" s="216">
        <f>AH97+AH98+AH99</f>
        <v>40503.075199999999</v>
      </c>
    </row>
    <row r="97" spans="1:34" s="140" customFormat="1" ht="13.5" x14ac:dyDescent="0.25">
      <c r="A97" s="217" t="s">
        <v>73</v>
      </c>
      <c r="B97" s="212" t="s">
        <v>13</v>
      </c>
      <c r="C97" s="218">
        <f t="shared" ref="C97:AG97" si="50">C89*C90*C91</f>
        <v>28319.065199999997</v>
      </c>
      <c r="D97" s="218">
        <f t="shared" si="50"/>
        <v>28319.065199999997</v>
      </c>
      <c r="E97" s="218">
        <f t="shared" si="50"/>
        <v>28319.065199999997</v>
      </c>
      <c r="F97" s="218">
        <f t="shared" si="50"/>
        <v>28319.065199999997</v>
      </c>
      <c r="G97" s="218">
        <f t="shared" si="50"/>
        <v>28319.065199999997</v>
      </c>
      <c r="H97" s="218">
        <f t="shared" si="50"/>
        <v>28319.065199999997</v>
      </c>
      <c r="I97" s="218">
        <f t="shared" si="50"/>
        <v>28319.065199999997</v>
      </c>
      <c r="J97" s="218">
        <f t="shared" si="50"/>
        <v>28319.065199999997</v>
      </c>
      <c r="K97" s="218">
        <f t="shared" si="50"/>
        <v>31568.245199999998</v>
      </c>
      <c r="L97" s="218">
        <f t="shared" si="50"/>
        <v>31568.245199999998</v>
      </c>
      <c r="M97" s="218">
        <f t="shared" si="50"/>
        <v>31568.245199999998</v>
      </c>
      <c r="N97" s="218">
        <f t="shared" si="50"/>
        <v>31568.245199999998</v>
      </c>
      <c r="O97" s="218">
        <f t="shared" si="50"/>
        <v>31568.245199999998</v>
      </c>
      <c r="P97" s="218">
        <f t="shared" si="50"/>
        <v>31568.245199999998</v>
      </c>
      <c r="Q97" s="218">
        <f t="shared" si="50"/>
        <v>31568.245199999998</v>
      </c>
      <c r="R97" s="218">
        <f t="shared" si="50"/>
        <v>31568.245199999998</v>
      </c>
      <c r="S97" s="218">
        <f t="shared" si="50"/>
        <v>31568.245199999998</v>
      </c>
      <c r="T97" s="218">
        <f t="shared" si="50"/>
        <v>31568.245199999998</v>
      </c>
      <c r="U97" s="218">
        <f t="shared" si="50"/>
        <v>31568.245199999998</v>
      </c>
      <c r="V97" s="218">
        <f t="shared" si="50"/>
        <v>31568.245199999998</v>
      </c>
      <c r="W97" s="218">
        <f t="shared" si="50"/>
        <v>31568.245199999998</v>
      </c>
      <c r="X97" s="218">
        <f t="shared" si="50"/>
        <v>31568.245199999998</v>
      </c>
      <c r="Y97" s="218">
        <f t="shared" si="50"/>
        <v>31568.245199999998</v>
      </c>
      <c r="Z97" s="218">
        <f t="shared" si="50"/>
        <v>31568.245199999998</v>
      </c>
      <c r="AA97" s="218">
        <f t="shared" si="50"/>
        <v>31568.245199999998</v>
      </c>
      <c r="AB97" s="218">
        <f t="shared" si="50"/>
        <v>31568.245199999998</v>
      </c>
      <c r="AC97" s="218">
        <f t="shared" si="50"/>
        <v>31568.245199999998</v>
      </c>
      <c r="AD97" s="218">
        <f t="shared" si="50"/>
        <v>31568.245199999998</v>
      </c>
      <c r="AE97" s="218">
        <f t="shared" si="50"/>
        <v>31568.245199999998</v>
      </c>
      <c r="AF97" s="218">
        <f t="shared" si="50"/>
        <v>31568.245199999998</v>
      </c>
      <c r="AG97" s="218">
        <f t="shared" si="50"/>
        <v>31568.245199999998</v>
      </c>
      <c r="AH97" s="218">
        <f>AH89*AH90*AH91</f>
        <v>31568.245199999998</v>
      </c>
    </row>
    <row r="98" spans="1:34" s="140" customFormat="1" ht="13.5" x14ac:dyDescent="0.25">
      <c r="A98" s="217" t="s">
        <v>364</v>
      </c>
      <c r="B98" s="212" t="s">
        <v>13</v>
      </c>
      <c r="C98" s="218">
        <f>C92*C93</f>
        <v>3568.2400000000002</v>
      </c>
      <c r="D98" s="218">
        <f>D92*D93</f>
        <v>3568.2400000000002</v>
      </c>
      <c r="E98" s="218">
        <f>E92*E93</f>
        <v>3568.2400000000002</v>
      </c>
      <c r="F98" s="219">
        <f>F92*F93</f>
        <v>3568.2400000000002</v>
      </c>
      <c r="G98" s="219">
        <f t="shared" ref="G98:AG98" si="51">G92*G93</f>
        <v>3568.2400000000002</v>
      </c>
      <c r="H98" s="219">
        <f t="shared" si="51"/>
        <v>3568.2400000000002</v>
      </c>
      <c r="I98" s="219">
        <f t="shared" si="51"/>
        <v>3568.2400000000002</v>
      </c>
      <c r="J98" s="219">
        <f t="shared" si="51"/>
        <v>3568.2400000000002</v>
      </c>
      <c r="K98" s="219">
        <f t="shared" si="51"/>
        <v>3578.6400000000003</v>
      </c>
      <c r="L98" s="219">
        <f t="shared" si="51"/>
        <v>3578.6400000000003</v>
      </c>
      <c r="M98" s="219">
        <f t="shared" si="51"/>
        <v>3578.6400000000003</v>
      </c>
      <c r="N98" s="219">
        <f t="shared" si="51"/>
        <v>3578.6400000000003</v>
      </c>
      <c r="O98" s="219">
        <f t="shared" si="51"/>
        <v>3578.6400000000003</v>
      </c>
      <c r="P98" s="219">
        <f t="shared" si="51"/>
        <v>3578.6400000000003</v>
      </c>
      <c r="Q98" s="219">
        <f t="shared" si="51"/>
        <v>3578.6400000000003</v>
      </c>
      <c r="R98" s="219">
        <f t="shared" si="51"/>
        <v>3578.6400000000003</v>
      </c>
      <c r="S98" s="219">
        <f t="shared" si="51"/>
        <v>3578.6400000000003</v>
      </c>
      <c r="T98" s="219">
        <f t="shared" si="51"/>
        <v>3578.6400000000003</v>
      </c>
      <c r="U98" s="219">
        <f t="shared" si="51"/>
        <v>3578.6400000000003</v>
      </c>
      <c r="V98" s="219">
        <f t="shared" si="51"/>
        <v>3578.6400000000003</v>
      </c>
      <c r="W98" s="219">
        <f t="shared" si="51"/>
        <v>3578.6400000000003</v>
      </c>
      <c r="X98" s="219">
        <f t="shared" si="51"/>
        <v>3578.6400000000003</v>
      </c>
      <c r="Y98" s="219">
        <f t="shared" si="51"/>
        <v>3578.6400000000003</v>
      </c>
      <c r="Z98" s="219">
        <f t="shared" si="51"/>
        <v>3578.6400000000003</v>
      </c>
      <c r="AA98" s="219">
        <f t="shared" si="51"/>
        <v>3578.6400000000003</v>
      </c>
      <c r="AB98" s="219">
        <f t="shared" si="51"/>
        <v>3578.6400000000003</v>
      </c>
      <c r="AC98" s="219">
        <f t="shared" si="51"/>
        <v>3578.6400000000003</v>
      </c>
      <c r="AD98" s="219">
        <f t="shared" si="51"/>
        <v>3578.6400000000003</v>
      </c>
      <c r="AE98" s="219">
        <f t="shared" si="51"/>
        <v>3578.6400000000003</v>
      </c>
      <c r="AF98" s="219">
        <f t="shared" si="51"/>
        <v>3578.6400000000003</v>
      </c>
      <c r="AG98" s="219">
        <f t="shared" si="51"/>
        <v>3578.6400000000003</v>
      </c>
      <c r="AH98" s="219">
        <f>AH92*AH93</f>
        <v>3578.6400000000003</v>
      </c>
    </row>
    <row r="99" spans="1:34" s="140" customFormat="1" ht="13.5" x14ac:dyDescent="0.25">
      <c r="A99" s="217" t="s">
        <v>365</v>
      </c>
      <c r="B99" s="212" t="s">
        <v>13</v>
      </c>
      <c r="C99" s="218">
        <f>C94*C95</f>
        <v>5288.1900000000005</v>
      </c>
      <c r="D99" s="218">
        <f>D94*D95</f>
        <v>5288.1900000000005</v>
      </c>
      <c r="E99" s="218">
        <f>E94*E95</f>
        <v>5288.1900000000005</v>
      </c>
      <c r="F99" s="219">
        <f>F94*F95</f>
        <v>5288.1900000000005</v>
      </c>
      <c r="G99" s="219">
        <f t="shared" ref="G99:AG99" si="52">G94*G95</f>
        <v>5288.1900000000005</v>
      </c>
      <c r="H99" s="219">
        <f t="shared" si="52"/>
        <v>5288.1900000000005</v>
      </c>
      <c r="I99" s="219">
        <f t="shared" si="52"/>
        <v>5288.1900000000005</v>
      </c>
      <c r="J99" s="219">
        <f t="shared" si="52"/>
        <v>5288.1900000000005</v>
      </c>
      <c r="K99" s="219">
        <f t="shared" si="52"/>
        <v>5356.1900000000005</v>
      </c>
      <c r="L99" s="219">
        <f t="shared" si="52"/>
        <v>5356.1900000000005</v>
      </c>
      <c r="M99" s="219">
        <f>M94*M95</f>
        <v>5356.1900000000005</v>
      </c>
      <c r="N99" s="219">
        <f t="shared" si="52"/>
        <v>5356.1900000000005</v>
      </c>
      <c r="O99" s="219">
        <f t="shared" si="52"/>
        <v>5356.1900000000005</v>
      </c>
      <c r="P99" s="219">
        <f t="shared" si="52"/>
        <v>5356.1900000000005</v>
      </c>
      <c r="Q99" s="219">
        <f t="shared" si="52"/>
        <v>5356.1900000000005</v>
      </c>
      <c r="R99" s="219">
        <f t="shared" si="52"/>
        <v>5356.1900000000005</v>
      </c>
      <c r="S99" s="219">
        <f t="shared" si="52"/>
        <v>5356.1900000000005</v>
      </c>
      <c r="T99" s="219">
        <f t="shared" si="52"/>
        <v>5356.1900000000005</v>
      </c>
      <c r="U99" s="219">
        <f t="shared" si="52"/>
        <v>5356.1900000000005</v>
      </c>
      <c r="V99" s="219">
        <f t="shared" si="52"/>
        <v>5356.1900000000005</v>
      </c>
      <c r="W99" s="219">
        <f t="shared" si="52"/>
        <v>5356.1900000000005</v>
      </c>
      <c r="X99" s="219">
        <f t="shared" si="52"/>
        <v>5356.1900000000005</v>
      </c>
      <c r="Y99" s="219">
        <f t="shared" si="52"/>
        <v>5356.1900000000005</v>
      </c>
      <c r="Z99" s="219">
        <f t="shared" si="52"/>
        <v>5356.1900000000005</v>
      </c>
      <c r="AA99" s="219">
        <f t="shared" si="52"/>
        <v>5356.1900000000005</v>
      </c>
      <c r="AB99" s="219">
        <f t="shared" si="52"/>
        <v>5356.1900000000005</v>
      </c>
      <c r="AC99" s="219">
        <f t="shared" si="52"/>
        <v>5356.1900000000005</v>
      </c>
      <c r="AD99" s="219">
        <f t="shared" si="52"/>
        <v>5356.1900000000005</v>
      </c>
      <c r="AE99" s="219">
        <f t="shared" si="52"/>
        <v>5356.1900000000005</v>
      </c>
      <c r="AF99" s="219">
        <f t="shared" si="52"/>
        <v>5356.1900000000005</v>
      </c>
      <c r="AG99" s="219">
        <f t="shared" si="52"/>
        <v>5356.1900000000005</v>
      </c>
      <c r="AH99" s="219">
        <f>AH94*AH95</f>
        <v>5356.1900000000005</v>
      </c>
    </row>
    <row r="100" spans="1:34" s="140" customFormat="1" ht="13.5" x14ac:dyDescent="0.25">
      <c r="A100" s="213" t="str">
        <f>A60</f>
        <v>zużycie wody [m3/r]</v>
      </c>
      <c r="B100" s="214" t="s">
        <v>77</v>
      </c>
      <c r="C100" s="220">
        <f>C101+C102+C103</f>
        <v>13569055.747999998</v>
      </c>
      <c r="D100" s="220">
        <f>D101+D102+D103</f>
        <v>13569055.747999998</v>
      </c>
      <c r="E100" s="220">
        <f>E101+E102+E103</f>
        <v>13569055.747999998</v>
      </c>
      <c r="F100" s="221">
        <f>F101+F102+F103</f>
        <v>13569055.747999998</v>
      </c>
      <c r="G100" s="221">
        <f t="shared" ref="G100:AG100" si="53">G101+G102+G103</f>
        <v>13569055.747999998</v>
      </c>
      <c r="H100" s="221">
        <f t="shared" si="53"/>
        <v>13569055.747999998</v>
      </c>
      <c r="I100" s="221">
        <f t="shared" si="53"/>
        <v>13569055.747999998</v>
      </c>
      <c r="J100" s="221">
        <f t="shared" si="53"/>
        <v>13569055.747999998</v>
      </c>
      <c r="K100" s="221">
        <f t="shared" si="53"/>
        <v>14783622.447999999</v>
      </c>
      <c r="L100" s="221">
        <f t="shared" si="53"/>
        <v>14783622.447999999</v>
      </c>
      <c r="M100" s="221">
        <f t="shared" si="53"/>
        <v>14783622.447999999</v>
      </c>
      <c r="N100" s="221">
        <f t="shared" si="53"/>
        <v>14783622.447999999</v>
      </c>
      <c r="O100" s="221">
        <f t="shared" si="53"/>
        <v>14783622.447999999</v>
      </c>
      <c r="P100" s="221">
        <f t="shared" si="53"/>
        <v>14783622.447999999</v>
      </c>
      <c r="Q100" s="221">
        <f t="shared" si="53"/>
        <v>14783622.447999999</v>
      </c>
      <c r="R100" s="221">
        <f t="shared" si="53"/>
        <v>14783622.447999999</v>
      </c>
      <c r="S100" s="221">
        <f t="shared" si="53"/>
        <v>14783622.447999999</v>
      </c>
      <c r="T100" s="221">
        <f t="shared" si="53"/>
        <v>14783622.447999999</v>
      </c>
      <c r="U100" s="221">
        <f t="shared" si="53"/>
        <v>14783622.447999999</v>
      </c>
      <c r="V100" s="221">
        <f t="shared" si="53"/>
        <v>14783622.447999999</v>
      </c>
      <c r="W100" s="221">
        <f t="shared" si="53"/>
        <v>14783622.447999999</v>
      </c>
      <c r="X100" s="221">
        <f t="shared" si="53"/>
        <v>14783622.447999999</v>
      </c>
      <c r="Y100" s="221">
        <f t="shared" si="53"/>
        <v>14783622.447999999</v>
      </c>
      <c r="Z100" s="221">
        <f t="shared" si="53"/>
        <v>14783622.447999999</v>
      </c>
      <c r="AA100" s="221">
        <f t="shared" si="53"/>
        <v>14783622.447999999</v>
      </c>
      <c r="AB100" s="221">
        <f t="shared" si="53"/>
        <v>14783622.447999999</v>
      </c>
      <c r="AC100" s="221">
        <f t="shared" si="53"/>
        <v>14783622.447999999</v>
      </c>
      <c r="AD100" s="221">
        <f t="shared" si="53"/>
        <v>14783622.447999999</v>
      </c>
      <c r="AE100" s="221">
        <f t="shared" si="53"/>
        <v>14783622.447999999</v>
      </c>
      <c r="AF100" s="221">
        <f t="shared" si="53"/>
        <v>14783622.447999999</v>
      </c>
      <c r="AG100" s="221">
        <f t="shared" si="53"/>
        <v>14783622.447999999</v>
      </c>
      <c r="AH100" s="221">
        <f>AH101+AH102+AH103</f>
        <v>14783622.447999999</v>
      </c>
    </row>
    <row r="101" spans="1:34" s="140" customFormat="1" ht="13.5" x14ac:dyDescent="0.25">
      <c r="A101" s="217" t="s">
        <v>73</v>
      </c>
      <c r="B101" s="212" t="s">
        <v>77</v>
      </c>
      <c r="C101" s="222">
        <f>C97*$B$104</f>
        <v>10336458.797999999</v>
      </c>
      <c r="D101" s="222">
        <f t="shared" ref="D101:AG103" si="54">D97*$B$104</f>
        <v>10336458.797999999</v>
      </c>
      <c r="E101" s="222">
        <f t="shared" si="54"/>
        <v>10336458.797999999</v>
      </c>
      <c r="F101" s="222">
        <f t="shared" si="54"/>
        <v>10336458.797999999</v>
      </c>
      <c r="G101" s="222">
        <f t="shared" si="54"/>
        <v>10336458.797999999</v>
      </c>
      <c r="H101" s="222">
        <f t="shared" si="54"/>
        <v>10336458.797999999</v>
      </c>
      <c r="I101" s="222">
        <f t="shared" si="54"/>
        <v>10336458.797999999</v>
      </c>
      <c r="J101" s="222">
        <f t="shared" si="54"/>
        <v>10336458.797999999</v>
      </c>
      <c r="K101" s="222">
        <f t="shared" si="54"/>
        <v>11522409.498</v>
      </c>
      <c r="L101" s="222">
        <f t="shared" si="54"/>
        <v>11522409.498</v>
      </c>
      <c r="M101" s="222">
        <f t="shared" si="54"/>
        <v>11522409.498</v>
      </c>
      <c r="N101" s="222">
        <f t="shared" si="54"/>
        <v>11522409.498</v>
      </c>
      <c r="O101" s="222">
        <f t="shared" si="54"/>
        <v>11522409.498</v>
      </c>
      <c r="P101" s="222">
        <f t="shared" si="54"/>
        <v>11522409.498</v>
      </c>
      <c r="Q101" s="222">
        <f t="shared" si="54"/>
        <v>11522409.498</v>
      </c>
      <c r="R101" s="222">
        <f t="shared" si="54"/>
        <v>11522409.498</v>
      </c>
      <c r="S101" s="222">
        <f t="shared" si="54"/>
        <v>11522409.498</v>
      </c>
      <c r="T101" s="222">
        <f t="shared" si="54"/>
        <v>11522409.498</v>
      </c>
      <c r="U101" s="222">
        <f t="shared" si="54"/>
        <v>11522409.498</v>
      </c>
      <c r="V101" s="222">
        <f t="shared" si="54"/>
        <v>11522409.498</v>
      </c>
      <c r="W101" s="222">
        <f t="shared" si="54"/>
        <v>11522409.498</v>
      </c>
      <c r="X101" s="222">
        <f t="shared" si="54"/>
        <v>11522409.498</v>
      </c>
      <c r="Y101" s="222">
        <f t="shared" si="54"/>
        <v>11522409.498</v>
      </c>
      <c r="Z101" s="222">
        <f t="shared" si="54"/>
        <v>11522409.498</v>
      </c>
      <c r="AA101" s="222">
        <f t="shared" si="54"/>
        <v>11522409.498</v>
      </c>
      <c r="AB101" s="222">
        <f t="shared" si="54"/>
        <v>11522409.498</v>
      </c>
      <c r="AC101" s="222">
        <f t="shared" si="54"/>
        <v>11522409.498</v>
      </c>
      <c r="AD101" s="222">
        <f t="shared" si="54"/>
        <v>11522409.498</v>
      </c>
      <c r="AE101" s="222">
        <f t="shared" si="54"/>
        <v>11522409.498</v>
      </c>
      <c r="AF101" s="222">
        <f t="shared" si="54"/>
        <v>11522409.498</v>
      </c>
      <c r="AG101" s="222">
        <f t="shared" si="54"/>
        <v>11522409.498</v>
      </c>
      <c r="AH101" s="222">
        <f>AH97*$B$104</f>
        <v>11522409.498</v>
      </c>
    </row>
    <row r="102" spans="1:34" s="140" customFormat="1" ht="13.5" x14ac:dyDescent="0.25">
      <c r="A102" s="217" t="s">
        <v>364</v>
      </c>
      <c r="B102" s="212" t="s">
        <v>77</v>
      </c>
      <c r="C102" s="222">
        <f t="shared" ref="C102:R103" si="55">C98*$B$104</f>
        <v>1302407.6000000001</v>
      </c>
      <c r="D102" s="222">
        <f t="shared" si="55"/>
        <v>1302407.6000000001</v>
      </c>
      <c r="E102" s="222">
        <f t="shared" si="55"/>
        <v>1302407.6000000001</v>
      </c>
      <c r="F102" s="222">
        <f t="shared" si="55"/>
        <v>1302407.6000000001</v>
      </c>
      <c r="G102" s="222">
        <f t="shared" si="55"/>
        <v>1302407.6000000001</v>
      </c>
      <c r="H102" s="222">
        <f t="shared" si="55"/>
        <v>1302407.6000000001</v>
      </c>
      <c r="I102" s="222">
        <f t="shared" si="55"/>
        <v>1302407.6000000001</v>
      </c>
      <c r="J102" s="222">
        <f t="shared" si="55"/>
        <v>1302407.6000000001</v>
      </c>
      <c r="K102" s="222">
        <f t="shared" si="55"/>
        <v>1306203.6000000001</v>
      </c>
      <c r="L102" s="222">
        <f t="shared" si="55"/>
        <v>1306203.6000000001</v>
      </c>
      <c r="M102" s="222">
        <f t="shared" si="55"/>
        <v>1306203.6000000001</v>
      </c>
      <c r="N102" s="222">
        <f t="shared" si="55"/>
        <v>1306203.6000000001</v>
      </c>
      <c r="O102" s="222">
        <f t="shared" si="55"/>
        <v>1306203.6000000001</v>
      </c>
      <c r="P102" s="222">
        <f t="shared" si="55"/>
        <v>1306203.6000000001</v>
      </c>
      <c r="Q102" s="222">
        <f t="shared" si="55"/>
        <v>1306203.6000000001</v>
      </c>
      <c r="R102" s="222">
        <f t="shared" si="55"/>
        <v>1306203.6000000001</v>
      </c>
      <c r="S102" s="222">
        <f t="shared" si="54"/>
        <v>1306203.6000000001</v>
      </c>
      <c r="T102" s="222">
        <f t="shared" si="54"/>
        <v>1306203.6000000001</v>
      </c>
      <c r="U102" s="222">
        <f t="shared" si="54"/>
        <v>1306203.6000000001</v>
      </c>
      <c r="V102" s="222">
        <f t="shared" si="54"/>
        <v>1306203.6000000001</v>
      </c>
      <c r="W102" s="222">
        <f t="shared" si="54"/>
        <v>1306203.6000000001</v>
      </c>
      <c r="X102" s="222">
        <f t="shared" si="54"/>
        <v>1306203.6000000001</v>
      </c>
      <c r="Y102" s="222">
        <f t="shared" si="54"/>
        <v>1306203.6000000001</v>
      </c>
      <c r="Z102" s="222">
        <f t="shared" si="54"/>
        <v>1306203.6000000001</v>
      </c>
      <c r="AA102" s="222">
        <f t="shared" si="54"/>
        <v>1306203.6000000001</v>
      </c>
      <c r="AB102" s="222">
        <f t="shared" si="54"/>
        <v>1306203.6000000001</v>
      </c>
      <c r="AC102" s="222">
        <f t="shared" si="54"/>
        <v>1306203.6000000001</v>
      </c>
      <c r="AD102" s="222">
        <f t="shared" si="54"/>
        <v>1306203.6000000001</v>
      </c>
      <c r="AE102" s="222">
        <f t="shared" si="54"/>
        <v>1306203.6000000001</v>
      </c>
      <c r="AF102" s="222">
        <f t="shared" si="54"/>
        <v>1306203.6000000001</v>
      </c>
      <c r="AG102" s="222">
        <f t="shared" si="54"/>
        <v>1306203.6000000001</v>
      </c>
      <c r="AH102" s="222">
        <f>AH98*$B$104</f>
        <v>1306203.6000000001</v>
      </c>
    </row>
    <row r="103" spans="1:34" s="140" customFormat="1" ht="13.5" x14ac:dyDescent="0.25">
      <c r="A103" s="217" t="s">
        <v>365</v>
      </c>
      <c r="B103" s="212" t="s">
        <v>77</v>
      </c>
      <c r="C103" s="222">
        <f t="shared" si="55"/>
        <v>1930189.35</v>
      </c>
      <c r="D103" s="222">
        <f t="shared" si="54"/>
        <v>1930189.35</v>
      </c>
      <c r="E103" s="222">
        <f t="shared" si="54"/>
        <v>1930189.35</v>
      </c>
      <c r="F103" s="222">
        <f t="shared" si="54"/>
        <v>1930189.35</v>
      </c>
      <c r="G103" s="222">
        <f t="shared" si="54"/>
        <v>1930189.35</v>
      </c>
      <c r="H103" s="222">
        <f t="shared" si="54"/>
        <v>1930189.35</v>
      </c>
      <c r="I103" s="222">
        <f t="shared" si="54"/>
        <v>1930189.35</v>
      </c>
      <c r="J103" s="222">
        <f t="shared" si="54"/>
        <v>1930189.35</v>
      </c>
      <c r="K103" s="222">
        <f t="shared" si="54"/>
        <v>1955009.35</v>
      </c>
      <c r="L103" s="222">
        <f t="shared" si="54"/>
        <v>1955009.35</v>
      </c>
      <c r="M103" s="222">
        <f t="shared" si="54"/>
        <v>1955009.35</v>
      </c>
      <c r="N103" s="222">
        <f t="shared" si="54"/>
        <v>1955009.35</v>
      </c>
      <c r="O103" s="222">
        <f t="shared" si="54"/>
        <v>1955009.35</v>
      </c>
      <c r="P103" s="222">
        <f t="shared" si="54"/>
        <v>1955009.35</v>
      </c>
      <c r="Q103" s="222">
        <f t="shared" si="54"/>
        <v>1955009.35</v>
      </c>
      <c r="R103" s="222">
        <f t="shared" si="54"/>
        <v>1955009.35</v>
      </c>
      <c r="S103" s="222">
        <f t="shared" si="54"/>
        <v>1955009.35</v>
      </c>
      <c r="T103" s="222">
        <f t="shared" si="54"/>
        <v>1955009.35</v>
      </c>
      <c r="U103" s="222">
        <f t="shared" si="54"/>
        <v>1955009.35</v>
      </c>
      <c r="V103" s="222">
        <f t="shared" si="54"/>
        <v>1955009.35</v>
      </c>
      <c r="W103" s="222">
        <f t="shared" si="54"/>
        <v>1955009.35</v>
      </c>
      <c r="X103" s="222">
        <f t="shared" si="54"/>
        <v>1955009.35</v>
      </c>
      <c r="Y103" s="222">
        <f t="shared" si="54"/>
        <v>1955009.35</v>
      </c>
      <c r="Z103" s="222">
        <f t="shared" si="54"/>
        <v>1955009.35</v>
      </c>
      <c r="AA103" s="222">
        <f t="shared" si="54"/>
        <v>1955009.35</v>
      </c>
      <c r="AB103" s="222">
        <f t="shared" si="54"/>
        <v>1955009.35</v>
      </c>
      <c r="AC103" s="222">
        <f t="shared" si="54"/>
        <v>1955009.35</v>
      </c>
      <c r="AD103" s="222">
        <f t="shared" si="54"/>
        <v>1955009.35</v>
      </c>
      <c r="AE103" s="222">
        <f t="shared" si="54"/>
        <v>1955009.35</v>
      </c>
      <c r="AF103" s="222">
        <f t="shared" si="54"/>
        <v>1955009.35</v>
      </c>
      <c r="AG103" s="222">
        <f t="shared" si="54"/>
        <v>1955009.35</v>
      </c>
      <c r="AH103" s="222">
        <f>AH99*$B$104</f>
        <v>1955009.35</v>
      </c>
    </row>
    <row r="104" spans="1:34" s="140" customFormat="1" ht="13.5" x14ac:dyDescent="0.2">
      <c r="A104" s="148" t="s">
        <v>78</v>
      </c>
      <c r="B104" s="3">
        <v>365</v>
      </c>
      <c r="C104" s="381">
        <f>C101/C$100</f>
        <v>0.76176699322084618</v>
      </c>
      <c r="D104" s="381">
        <f t="shared" ref="D104:AH104" si="56">D101/D$100</f>
        <v>0.76176699322084618</v>
      </c>
      <c r="E104" s="381">
        <f t="shared" si="56"/>
        <v>0.76176699322084618</v>
      </c>
      <c r="F104" s="381">
        <f t="shared" si="56"/>
        <v>0.76176699322084618</v>
      </c>
      <c r="G104" s="381">
        <f t="shared" si="56"/>
        <v>0.76176699322084618</v>
      </c>
      <c r="H104" s="381">
        <f t="shared" si="56"/>
        <v>0.76176699322084618</v>
      </c>
      <c r="I104" s="381">
        <f t="shared" si="56"/>
        <v>0.76176699322084618</v>
      </c>
      <c r="J104" s="381">
        <f t="shared" si="56"/>
        <v>0.76176699322084618</v>
      </c>
      <c r="K104" s="381">
        <f t="shared" si="56"/>
        <v>0.77940366365070479</v>
      </c>
      <c r="L104" s="381">
        <f t="shared" si="56"/>
        <v>0.77940366365070479</v>
      </c>
      <c r="M104" s="381">
        <f t="shared" si="56"/>
        <v>0.77940366365070479</v>
      </c>
      <c r="N104" s="381">
        <f t="shared" si="56"/>
        <v>0.77940366365070479</v>
      </c>
      <c r="O104" s="381">
        <f t="shared" si="56"/>
        <v>0.77940366365070479</v>
      </c>
      <c r="P104" s="381">
        <f t="shared" si="56"/>
        <v>0.77940366365070479</v>
      </c>
      <c r="Q104" s="381">
        <f t="shared" si="56"/>
        <v>0.77940366365070479</v>
      </c>
      <c r="R104" s="381">
        <f t="shared" si="56"/>
        <v>0.77940366365070479</v>
      </c>
      <c r="S104" s="381">
        <f t="shared" si="56"/>
        <v>0.77940366365070479</v>
      </c>
      <c r="T104" s="381">
        <f t="shared" si="56"/>
        <v>0.77940366365070479</v>
      </c>
      <c r="U104" s="381">
        <f t="shared" si="56"/>
        <v>0.77940366365070479</v>
      </c>
      <c r="V104" s="381">
        <f t="shared" si="56"/>
        <v>0.77940366365070479</v>
      </c>
      <c r="W104" s="381">
        <f t="shared" si="56"/>
        <v>0.77940366365070479</v>
      </c>
      <c r="X104" s="381">
        <f t="shared" si="56"/>
        <v>0.77940366365070479</v>
      </c>
      <c r="Y104" s="381">
        <f t="shared" si="56"/>
        <v>0.77940366365070479</v>
      </c>
      <c r="Z104" s="381">
        <f t="shared" si="56"/>
        <v>0.77940366365070479</v>
      </c>
      <c r="AA104" s="381">
        <f t="shared" si="56"/>
        <v>0.77940366365070479</v>
      </c>
      <c r="AB104" s="381">
        <f t="shared" si="56"/>
        <v>0.77940366365070479</v>
      </c>
      <c r="AC104" s="381">
        <f t="shared" si="56"/>
        <v>0.77940366365070479</v>
      </c>
      <c r="AD104" s="381">
        <f t="shared" si="56"/>
        <v>0.77940366365070479</v>
      </c>
      <c r="AE104" s="381">
        <f t="shared" si="56"/>
        <v>0.77940366365070479</v>
      </c>
      <c r="AF104" s="381">
        <f t="shared" si="56"/>
        <v>0.77940366365070479</v>
      </c>
      <c r="AG104" s="381">
        <f t="shared" si="56"/>
        <v>0.77940366365070479</v>
      </c>
      <c r="AH104" s="381">
        <f t="shared" si="56"/>
        <v>0.77940366365070479</v>
      </c>
    </row>
    <row r="105" spans="1:34" s="140" customFormat="1" ht="13.5" x14ac:dyDescent="0.2">
      <c r="A105" s="148" t="s">
        <v>79</v>
      </c>
      <c r="B105" s="3">
        <v>30</v>
      </c>
      <c r="C105" s="381">
        <f>C102/C$100</f>
        <v>9.5983657535784514E-2</v>
      </c>
      <c r="D105" s="381">
        <f t="shared" ref="D105:AH105" si="57">D102/D$100</f>
        <v>9.5983657535784514E-2</v>
      </c>
      <c r="E105" s="381">
        <f t="shared" si="57"/>
        <v>9.5983657535784514E-2</v>
      </c>
      <c r="F105" s="381">
        <f t="shared" si="57"/>
        <v>9.5983657535784514E-2</v>
      </c>
      <c r="G105" s="381">
        <f t="shared" si="57"/>
        <v>9.5983657535784514E-2</v>
      </c>
      <c r="H105" s="381">
        <f t="shared" si="57"/>
        <v>9.5983657535784514E-2</v>
      </c>
      <c r="I105" s="381">
        <f t="shared" si="57"/>
        <v>9.5983657535784514E-2</v>
      </c>
      <c r="J105" s="381">
        <f t="shared" si="57"/>
        <v>9.5983657535784514E-2</v>
      </c>
      <c r="K105" s="381">
        <f t="shared" si="57"/>
        <v>8.8354772627239925E-2</v>
      </c>
      <c r="L105" s="381">
        <f t="shared" si="57"/>
        <v>8.8354772627239925E-2</v>
      </c>
      <c r="M105" s="381">
        <f t="shared" si="57"/>
        <v>8.8354772627239925E-2</v>
      </c>
      <c r="N105" s="381">
        <f t="shared" si="57"/>
        <v>8.8354772627239925E-2</v>
      </c>
      <c r="O105" s="381">
        <f t="shared" si="57"/>
        <v>8.8354772627239925E-2</v>
      </c>
      <c r="P105" s="381">
        <f t="shared" si="57"/>
        <v>8.8354772627239925E-2</v>
      </c>
      <c r="Q105" s="381">
        <f t="shared" si="57"/>
        <v>8.8354772627239925E-2</v>
      </c>
      <c r="R105" s="381">
        <f t="shared" si="57"/>
        <v>8.8354772627239925E-2</v>
      </c>
      <c r="S105" s="381">
        <f t="shared" si="57"/>
        <v>8.8354772627239925E-2</v>
      </c>
      <c r="T105" s="381">
        <f t="shared" si="57"/>
        <v>8.8354772627239925E-2</v>
      </c>
      <c r="U105" s="381">
        <f t="shared" si="57"/>
        <v>8.8354772627239925E-2</v>
      </c>
      <c r="V105" s="381">
        <f t="shared" si="57"/>
        <v>8.8354772627239925E-2</v>
      </c>
      <c r="W105" s="381">
        <f t="shared" si="57"/>
        <v>8.8354772627239925E-2</v>
      </c>
      <c r="X105" s="381">
        <f t="shared" si="57"/>
        <v>8.8354772627239925E-2</v>
      </c>
      <c r="Y105" s="381">
        <f t="shared" si="57"/>
        <v>8.8354772627239925E-2</v>
      </c>
      <c r="Z105" s="381">
        <f t="shared" si="57"/>
        <v>8.8354772627239925E-2</v>
      </c>
      <c r="AA105" s="381">
        <f t="shared" si="57"/>
        <v>8.8354772627239925E-2</v>
      </c>
      <c r="AB105" s="381">
        <f t="shared" si="57"/>
        <v>8.8354772627239925E-2</v>
      </c>
      <c r="AC105" s="381">
        <f t="shared" si="57"/>
        <v>8.8354772627239925E-2</v>
      </c>
      <c r="AD105" s="381">
        <f t="shared" si="57"/>
        <v>8.8354772627239925E-2</v>
      </c>
      <c r="AE105" s="381">
        <f t="shared" si="57"/>
        <v>8.8354772627239925E-2</v>
      </c>
      <c r="AF105" s="381">
        <f t="shared" si="57"/>
        <v>8.8354772627239925E-2</v>
      </c>
      <c r="AG105" s="381">
        <f t="shared" si="57"/>
        <v>8.8354772627239925E-2</v>
      </c>
      <c r="AH105" s="381">
        <f t="shared" si="57"/>
        <v>8.8354772627239925E-2</v>
      </c>
    </row>
    <row r="106" spans="1:34" ht="13.5" hidden="1" x14ac:dyDescent="0.2">
      <c r="C106" s="381">
        <f>C103/C$100</f>
        <v>0.14224934924336935</v>
      </c>
      <c r="D106" s="381">
        <f t="shared" ref="D106:AH106" si="58">D103/D$100</f>
        <v>0.14224934924336935</v>
      </c>
      <c r="E106" s="381">
        <f t="shared" si="58"/>
        <v>0.14224934924336935</v>
      </c>
      <c r="F106" s="381">
        <f t="shared" si="58"/>
        <v>0.14224934924336935</v>
      </c>
      <c r="G106" s="381">
        <f t="shared" si="58"/>
        <v>0.14224934924336935</v>
      </c>
      <c r="H106" s="381">
        <f t="shared" si="58"/>
        <v>0.14224934924336935</v>
      </c>
      <c r="I106" s="381">
        <f t="shared" si="58"/>
        <v>0.14224934924336935</v>
      </c>
      <c r="J106" s="381">
        <f t="shared" si="58"/>
        <v>0.14224934924336935</v>
      </c>
      <c r="K106" s="381">
        <f t="shared" si="58"/>
        <v>0.13224156372205537</v>
      </c>
      <c r="L106" s="381">
        <f t="shared" si="58"/>
        <v>0.13224156372205537</v>
      </c>
      <c r="M106" s="381">
        <f t="shared" si="58"/>
        <v>0.13224156372205537</v>
      </c>
      <c r="N106" s="381">
        <f t="shared" si="58"/>
        <v>0.13224156372205537</v>
      </c>
      <c r="O106" s="381">
        <f t="shared" si="58"/>
        <v>0.13224156372205537</v>
      </c>
      <c r="P106" s="381">
        <f t="shared" si="58"/>
        <v>0.13224156372205537</v>
      </c>
      <c r="Q106" s="381">
        <f t="shared" si="58"/>
        <v>0.13224156372205537</v>
      </c>
      <c r="R106" s="381">
        <f t="shared" si="58"/>
        <v>0.13224156372205537</v>
      </c>
      <c r="S106" s="381">
        <f t="shared" si="58"/>
        <v>0.13224156372205537</v>
      </c>
      <c r="T106" s="381">
        <f t="shared" si="58"/>
        <v>0.13224156372205537</v>
      </c>
      <c r="U106" s="381">
        <f t="shared" si="58"/>
        <v>0.13224156372205537</v>
      </c>
      <c r="V106" s="381">
        <f t="shared" si="58"/>
        <v>0.13224156372205537</v>
      </c>
      <c r="W106" s="381">
        <f t="shared" si="58"/>
        <v>0.13224156372205537</v>
      </c>
      <c r="X106" s="381">
        <f t="shared" si="58"/>
        <v>0.13224156372205537</v>
      </c>
      <c r="Y106" s="381">
        <f t="shared" si="58"/>
        <v>0.13224156372205537</v>
      </c>
      <c r="Z106" s="381">
        <f t="shared" si="58"/>
        <v>0.13224156372205537</v>
      </c>
      <c r="AA106" s="381">
        <f t="shared" si="58"/>
        <v>0.13224156372205537</v>
      </c>
      <c r="AB106" s="381">
        <f t="shared" si="58"/>
        <v>0.13224156372205537</v>
      </c>
      <c r="AC106" s="381">
        <f t="shared" si="58"/>
        <v>0.13224156372205537</v>
      </c>
      <c r="AD106" s="381">
        <f t="shared" si="58"/>
        <v>0.13224156372205537</v>
      </c>
      <c r="AE106" s="381">
        <f t="shared" si="58"/>
        <v>0.13224156372205537</v>
      </c>
      <c r="AF106" s="381">
        <f t="shared" si="58"/>
        <v>0.13224156372205537</v>
      </c>
      <c r="AG106" s="381">
        <f t="shared" si="58"/>
        <v>0.13224156372205537</v>
      </c>
      <c r="AH106" s="381">
        <f t="shared" si="58"/>
        <v>0.13224156372205537</v>
      </c>
    </row>
    <row r="107" spans="1:34" ht="15.75" x14ac:dyDescent="0.2">
      <c r="A107" s="233" t="s">
        <v>404</v>
      </c>
    </row>
    <row r="108" spans="1:34" s="140" customFormat="1" ht="13.5" customHeight="1" x14ac:dyDescent="0.25">
      <c r="A108" s="17" t="s">
        <v>262</v>
      </c>
      <c r="B108" s="18" t="s">
        <v>2</v>
      </c>
      <c r="C108" s="18">
        <v>2013</v>
      </c>
      <c r="D108" s="18">
        <f t="shared" ref="D108:AH108" si="59">C108+1</f>
        <v>2014</v>
      </c>
      <c r="E108" s="18">
        <f t="shared" si="59"/>
        <v>2015</v>
      </c>
      <c r="F108" s="18">
        <f t="shared" si="59"/>
        <v>2016</v>
      </c>
      <c r="G108" s="18">
        <f t="shared" si="59"/>
        <v>2017</v>
      </c>
      <c r="H108" s="18">
        <f t="shared" si="59"/>
        <v>2018</v>
      </c>
      <c r="I108" s="18">
        <f t="shared" si="59"/>
        <v>2019</v>
      </c>
      <c r="J108" s="18">
        <f t="shared" si="59"/>
        <v>2020</v>
      </c>
      <c r="K108" s="18">
        <f t="shared" si="59"/>
        <v>2021</v>
      </c>
      <c r="L108" s="18">
        <f t="shared" si="59"/>
        <v>2022</v>
      </c>
      <c r="M108" s="18">
        <f t="shared" si="59"/>
        <v>2023</v>
      </c>
      <c r="N108" s="18">
        <f t="shared" si="59"/>
        <v>2024</v>
      </c>
      <c r="O108" s="18">
        <f t="shared" si="59"/>
        <v>2025</v>
      </c>
      <c r="P108" s="18">
        <f t="shared" si="59"/>
        <v>2026</v>
      </c>
      <c r="Q108" s="18">
        <f t="shared" si="59"/>
        <v>2027</v>
      </c>
      <c r="R108" s="18">
        <f t="shared" si="59"/>
        <v>2028</v>
      </c>
      <c r="S108" s="18">
        <f t="shared" si="59"/>
        <v>2029</v>
      </c>
      <c r="T108" s="18">
        <f t="shared" si="59"/>
        <v>2030</v>
      </c>
      <c r="U108" s="18">
        <f t="shared" si="59"/>
        <v>2031</v>
      </c>
      <c r="V108" s="18">
        <f t="shared" si="59"/>
        <v>2032</v>
      </c>
      <c r="W108" s="18">
        <f t="shared" si="59"/>
        <v>2033</v>
      </c>
      <c r="X108" s="18">
        <f t="shared" si="59"/>
        <v>2034</v>
      </c>
      <c r="Y108" s="18">
        <f t="shared" si="59"/>
        <v>2035</v>
      </c>
      <c r="Z108" s="18">
        <f t="shared" si="59"/>
        <v>2036</v>
      </c>
      <c r="AA108" s="18">
        <f t="shared" si="59"/>
        <v>2037</v>
      </c>
      <c r="AB108" s="18">
        <f t="shared" si="59"/>
        <v>2038</v>
      </c>
      <c r="AC108" s="18">
        <f t="shared" si="59"/>
        <v>2039</v>
      </c>
      <c r="AD108" s="18">
        <f t="shared" si="59"/>
        <v>2040</v>
      </c>
      <c r="AE108" s="18">
        <f t="shared" si="59"/>
        <v>2041</v>
      </c>
      <c r="AF108" s="18">
        <f t="shared" si="59"/>
        <v>2042</v>
      </c>
      <c r="AG108" s="18">
        <f t="shared" si="59"/>
        <v>2043</v>
      </c>
      <c r="AH108" s="18">
        <f t="shared" si="59"/>
        <v>2044</v>
      </c>
    </row>
    <row r="109" spans="1:34" s="140" customFormat="1" ht="27" x14ac:dyDescent="0.25">
      <c r="A109" s="13" t="s">
        <v>328</v>
      </c>
      <c r="B109" s="2" t="s">
        <v>9</v>
      </c>
      <c r="C109" s="14">
        <f>'Założenia-dane wejściowe '!D91</f>
        <v>54237</v>
      </c>
      <c r="D109" s="14">
        <f>'Założenia-dane wejściowe '!E91</f>
        <v>54237</v>
      </c>
      <c r="E109" s="14">
        <f>'Założenia-dane wejściowe '!F91</f>
        <v>54237</v>
      </c>
      <c r="F109" s="14">
        <f>'Założenia-dane wejściowe '!G91</f>
        <v>54237</v>
      </c>
      <c r="G109" s="14">
        <f>'Założenia-dane wejściowe '!H91</f>
        <v>54237</v>
      </c>
      <c r="H109" s="14">
        <f>'Założenia-dane wejściowe '!I91</f>
        <v>54237</v>
      </c>
      <c r="I109" s="14">
        <f>'Założenia-dane wejściowe '!J91</f>
        <v>54237</v>
      </c>
      <c r="J109" s="14">
        <f>'Założenia-dane wejściowe '!K91</f>
        <v>54237</v>
      </c>
      <c r="K109" s="14">
        <f>'Założenia-dane wejściowe '!L91</f>
        <v>65037</v>
      </c>
      <c r="L109" s="14">
        <f>'Założenia-dane wejściowe '!M91</f>
        <v>65037</v>
      </c>
      <c r="M109" s="14">
        <f>'Założenia-dane wejściowe '!N91</f>
        <v>65037</v>
      </c>
      <c r="N109" s="14">
        <f>'Założenia-dane wejściowe '!O91</f>
        <v>65037</v>
      </c>
      <c r="O109" s="14">
        <f>'Założenia-dane wejściowe '!P91</f>
        <v>65037</v>
      </c>
      <c r="P109" s="14">
        <f>'Założenia-dane wejściowe '!Q91</f>
        <v>65037</v>
      </c>
      <c r="Q109" s="14">
        <f>'Założenia-dane wejściowe '!R91</f>
        <v>65037</v>
      </c>
      <c r="R109" s="14">
        <f>'Założenia-dane wejściowe '!S91</f>
        <v>65037</v>
      </c>
      <c r="S109" s="14">
        <f>'Założenia-dane wejściowe '!T91</f>
        <v>65037</v>
      </c>
      <c r="T109" s="14">
        <f>'Założenia-dane wejściowe '!U91</f>
        <v>65037</v>
      </c>
      <c r="U109" s="14">
        <f>'Założenia-dane wejściowe '!V91</f>
        <v>65037</v>
      </c>
      <c r="V109" s="14">
        <f>'Założenia-dane wejściowe '!W91</f>
        <v>65037</v>
      </c>
      <c r="W109" s="14">
        <f>'Założenia-dane wejściowe '!X91</f>
        <v>65037</v>
      </c>
      <c r="X109" s="14">
        <f>'Założenia-dane wejściowe '!Y91</f>
        <v>65037</v>
      </c>
      <c r="Y109" s="14">
        <f>'Założenia-dane wejściowe '!Z91</f>
        <v>65037</v>
      </c>
      <c r="Z109" s="14">
        <f>'Założenia-dane wejściowe '!AA91</f>
        <v>65037</v>
      </c>
      <c r="AA109" s="14">
        <f>'Założenia-dane wejściowe '!AB91</f>
        <v>65037</v>
      </c>
      <c r="AB109" s="14">
        <f>'Założenia-dane wejściowe '!AC91</f>
        <v>65037</v>
      </c>
      <c r="AC109" s="14">
        <f>'Założenia-dane wejściowe '!AD91</f>
        <v>65037</v>
      </c>
      <c r="AD109" s="14">
        <f>'Założenia-dane wejściowe '!AE91</f>
        <v>65037</v>
      </c>
      <c r="AE109" s="14">
        <f>'Założenia-dane wejściowe '!AF91</f>
        <v>65037</v>
      </c>
      <c r="AF109" s="14">
        <f>'Założenia-dane wejściowe '!AG91</f>
        <v>65037</v>
      </c>
      <c r="AG109" s="14">
        <f>'Założenia-dane wejściowe '!AH91</f>
        <v>65037</v>
      </c>
      <c r="AH109" s="14">
        <f>'Założenia-dane wejściowe '!AI91</f>
        <v>65037</v>
      </c>
    </row>
    <row r="110" spans="1:34" s="140" customFormat="1" ht="27" x14ac:dyDescent="0.25">
      <c r="A110" s="16" t="s">
        <v>274</v>
      </c>
      <c r="B110" s="2" t="s">
        <v>21</v>
      </c>
      <c r="C110" s="442">
        <f>'Założenia-dane wejściowe '!D92</f>
        <v>8.5499999999999993E-2</v>
      </c>
      <c r="D110" s="442">
        <f>'Założenia-dane wejściowe '!E92</f>
        <v>8.5499999999999993E-2</v>
      </c>
      <c r="E110" s="442">
        <f>'Założenia-dane wejściowe '!F92</f>
        <v>8.5499999999999993E-2</v>
      </c>
      <c r="F110" s="442">
        <f>'Założenia-dane wejściowe '!G92</f>
        <v>8.5499999999999993E-2</v>
      </c>
      <c r="G110" s="442">
        <f>'Założenia-dane wejściowe '!H92</f>
        <v>8.5499999999999993E-2</v>
      </c>
      <c r="H110" s="442">
        <f>'Założenia-dane wejściowe '!I92</f>
        <v>8.5499999999999993E-2</v>
      </c>
      <c r="I110" s="442">
        <f>'Założenia-dane wejściowe '!J92</f>
        <v>8.5499999999999993E-2</v>
      </c>
      <c r="J110" s="442">
        <f>'Założenia-dane wejściowe '!K92</f>
        <v>8.5499999999999993E-2</v>
      </c>
      <c r="K110" s="442">
        <f>'Założenia-dane wejściowe '!L92</f>
        <v>8.5499999999999993E-2</v>
      </c>
      <c r="L110" s="442">
        <f>'Założenia-dane wejściowe '!M92</f>
        <v>8.5499999999999993E-2</v>
      </c>
      <c r="M110" s="442">
        <f>'Założenia-dane wejściowe '!N92</f>
        <v>8.5499999999999993E-2</v>
      </c>
      <c r="N110" s="442">
        <f>'Założenia-dane wejściowe '!O92</f>
        <v>8.5499999999999993E-2</v>
      </c>
      <c r="O110" s="442">
        <f>'Założenia-dane wejściowe '!P92</f>
        <v>8.5499999999999993E-2</v>
      </c>
      <c r="P110" s="442">
        <f>'Założenia-dane wejściowe '!Q92</f>
        <v>8.5499999999999993E-2</v>
      </c>
      <c r="Q110" s="442">
        <f>'Założenia-dane wejściowe '!R92</f>
        <v>8.5499999999999993E-2</v>
      </c>
      <c r="R110" s="442">
        <f>'Założenia-dane wejściowe '!S92</f>
        <v>8.5499999999999993E-2</v>
      </c>
      <c r="S110" s="442">
        <f>'Założenia-dane wejściowe '!T92</f>
        <v>8.5499999999999993E-2</v>
      </c>
      <c r="T110" s="442">
        <f>'Założenia-dane wejściowe '!U92</f>
        <v>8.5499999999999993E-2</v>
      </c>
      <c r="U110" s="442">
        <f>'Założenia-dane wejściowe '!V92</f>
        <v>8.5499999999999993E-2</v>
      </c>
      <c r="V110" s="442">
        <f>'Założenia-dane wejściowe '!W92</f>
        <v>8.5499999999999993E-2</v>
      </c>
      <c r="W110" s="442">
        <f>'Założenia-dane wejściowe '!X92</f>
        <v>8.5499999999999993E-2</v>
      </c>
      <c r="X110" s="442">
        <f>'Założenia-dane wejściowe '!Y92</f>
        <v>8.5499999999999993E-2</v>
      </c>
      <c r="Y110" s="442">
        <f>'Założenia-dane wejściowe '!Z92</f>
        <v>8.5499999999999993E-2</v>
      </c>
      <c r="Z110" s="442">
        <f>'Założenia-dane wejściowe '!AA92</f>
        <v>8.5499999999999993E-2</v>
      </c>
      <c r="AA110" s="442">
        <f>'Założenia-dane wejściowe '!AB92</f>
        <v>8.5499999999999993E-2</v>
      </c>
      <c r="AB110" s="442">
        <f>'Założenia-dane wejściowe '!AC92</f>
        <v>8.5499999999999993E-2</v>
      </c>
      <c r="AC110" s="442">
        <f>'Założenia-dane wejściowe '!AD92</f>
        <v>8.5499999999999993E-2</v>
      </c>
      <c r="AD110" s="442">
        <f>'Założenia-dane wejściowe '!AE92</f>
        <v>8.5499999999999993E-2</v>
      </c>
      <c r="AE110" s="442">
        <f>'Założenia-dane wejściowe '!AF92</f>
        <v>8.5499999999999993E-2</v>
      </c>
      <c r="AF110" s="442">
        <f>'Założenia-dane wejściowe '!AG92</f>
        <v>8.5499999999999993E-2</v>
      </c>
      <c r="AG110" s="442">
        <f>'Założenia-dane wejściowe '!AH92</f>
        <v>8.5499999999999993E-2</v>
      </c>
      <c r="AH110" s="442">
        <f>'Założenia-dane wejściowe '!AI92</f>
        <v>8.5499999999999993E-2</v>
      </c>
    </row>
    <row r="111" spans="1:34" s="140" customFormat="1" ht="13.5" x14ac:dyDescent="0.25">
      <c r="A111" s="21" t="s">
        <v>264</v>
      </c>
      <c r="B111" s="2" t="s">
        <v>10</v>
      </c>
      <c r="C111" s="64">
        <f>'Założenia-dane wejściowe '!D93</f>
        <v>5.38</v>
      </c>
      <c r="D111" s="57">
        <f>'Założenia-dane wejściowe '!E93</f>
        <v>5.38</v>
      </c>
      <c r="E111" s="57">
        <f>'Założenia-dane wejściowe '!F93</f>
        <v>5.38</v>
      </c>
      <c r="F111" s="57">
        <f>'Założenia-dane wejściowe '!G93</f>
        <v>5.38</v>
      </c>
      <c r="G111" s="57">
        <f>'Założenia-dane wejściowe '!H93</f>
        <v>5.38</v>
      </c>
      <c r="H111" s="57">
        <f>'Założenia-dane wejściowe '!I93</f>
        <v>5.38</v>
      </c>
      <c r="I111" s="57">
        <f>'Założenia-dane wejściowe '!J93</f>
        <v>5.38</v>
      </c>
      <c r="J111" s="57">
        <f>'Założenia-dane wejściowe '!K93</f>
        <v>5.38</v>
      </c>
      <c r="K111" s="57">
        <f>'Założenia-dane wejściowe '!L93</f>
        <v>5.38</v>
      </c>
      <c r="L111" s="57">
        <f>'Założenia-dane wejściowe '!M93</f>
        <v>5.38</v>
      </c>
      <c r="M111" s="57">
        <f>'Założenia-dane wejściowe '!N93</f>
        <v>5.38</v>
      </c>
      <c r="N111" s="57">
        <f>'Założenia-dane wejściowe '!O93</f>
        <v>5.38</v>
      </c>
      <c r="O111" s="57">
        <f>'Założenia-dane wejściowe '!P93</f>
        <v>5.38</v>
      </c>
      <c r="P111" s="57">
        <f>'Założenia-dane wejściowe '!Q93</f>
        <v>5.38</v>
      </c>
      <c r="Q111" s="57">
        <f>'Założenia-dane wejściowe '!R93</f>
        <v>5.38</v>
      </c>
      <c r="R111" s="57">
        <f>'Założenia-dane wejściowe '!S93</f>
        <v>5.38</v>
      </c>
      <c r="S111" s="57">
        <f>'Założenia-dane wejściowe '!T93</f>
        <v>5.38</v>
      </c>
      <c r="T111" s="57">
        <f>'Założenia-dane wejściowe '!U93</f>
        <v>5.38</v>
      </c>
      <c r="U111" s="57">
        <f>'Założenia-dane wejściowe '!V93</f>
        <v>5.38</v>
      </c>
      <c r="V111" s="57">
        <f>'Założenia-dane wejściowe '!W93</f>
        <v>5.38</v>
      </c>
      <c r="W111" s="57">
        <f>'Założenia-dane wejściowe '!X93</f>
        <v>5.38</v>
      </c>
      <c r="X111" s="57">
        <f>'Założenia-dane wejściowe '!Y93</f>
        <v>5.38</v>
      </c>
      <c r="Y111" s="57">
        <f>'Założenia-dane wejściowe '!Z93</f>
        <v>5.38</v>
      </c>
      <c r="Z111" s="57">
        <f>'Założenia-dane wejściowe '!AA93</f>
        <v>5.38</v>
      </c>
      <c r="AA111" s="57">
        <f>'Założenia-dane wejściowe '!AB93</f>
        <v>5.38</v>
      </c>
      <c r="AB111" s="57">
        <f>'Założenia-dane wejściowe '!AC93</f>
        <v>5.38</v>
      </c>
      <c r="AC111" s="57">
        <f>'Założenia-dane wejściowe '!AD93</f>
        <v>5.38</v>
      </c>
      <c r="AD111" s="57">
        <f>'Założenia-dane wejściowe '!AE93</f>
        <v>5.38</v>
      </c>
      <c r="AE111" s="57">
        <f>'Założenia-dane wejściowe '!AF93</f>
        <v>5.38</v>
      </c>
      <c r="AF111" s="57">
        <f>'Założenia-dane wejściowe '!AG93</f>
        <v>5.38</v>
      </c>
      <c r="AG111" s="57">
        <f>'Założenia-dane wejściowe '!AH93</f>
        <v>5.38</v>
      </c>
      <c r="AH111" s="57">
        <f>'Założenia-dane wejściowe '!AI93</f>
        <v>5.38</v>
      </c>
    </row>
    <row r="112" spans="1:34" s="140" customFormat="1" ht="27" x14ac:dyDescent="0.25">
      <c r="A112" s="13" t="s">
        <v>277</v>
      </c>
      <c r="B112" s="2" t="s">
        <v>12</v>
      </c>
      <c r="C112" s="14">
        <f>'Założenia-dane wejściowe '!D94</f>
        <v>3431</v>
      </c>
      <c r="D112" s="14">
        <f>'Założenia-dane wejściowe '!E94</f>
        <v>3431</v>
      </c>
      <c r="E112" s="14">
        <f>'Założenia-dane wejściowe '!F94</f>
        <v>3431</v>
      </c>
      <c r="F112" s="14">
        <f>'Założenia-dane wejściowe '!G94</f>
        <v>3431</v>
      </c>
      <c r="G112" s="14">
        <f>'Założenia-dane wejściowe '!H94</f>
        <v>3431</v>
      </c>
      <c r="H112" s="14">
        <f>'Założenia-dane wejściowe '!I94</f>
        <v>3431</v>
      </c>
      <c r="I112" s="14">
        <f>'Założenia-dane wejściowe '!J94</f>
        <v>3431</v>
      </c>
      <c r="J112" s="14">
        <f>'Założenia-dane wejściowe '!K94</f>
        <v>3431</v>
      </c>
      <c r="K112" s="14">
        <f>'Założenia-dane wejściowe '!L94</f>
        <v>3441</v>
      </c>
      <c r="L112" s="14">
        <f>'Założenia-dane wejściowe '!M94</f>
        <v>3441</v>
      </c>
      <c r="M112" s="14">
        <f>'Założenia-dane wejściowe '!N94</f>
        <v>3441</v>
      </c>
      <c r="N112" s="14">
        <f>'Założenia-dane wejściowe '!O94</f>
        <v>3441</v>
      </c>
      <c r="O112" s="14">
        <f>'Założenia-dane wejściowe '!P94</f>
        <v>3441</v>
      </c>
      <c r="P112" s="14">
        <f>'Założenia-dane wejściowe '!Q94</f>
        <v>3441</v>
      </c>
      <c r="Q112" s="14">
        <f>'Założenia-dane wejściowe '!R94</f>
        <v>3441</v>
      </c>
      <c r="R112" s="14">
        <f>'Założenia-dane wejściowe '!S94</f>
        <v>3441</v>
      </c>
      <c r="S112" s="14">
        <f>'Założenia-dane wejściowe '!T94</f>
        <v>3441</v>
      </c>
      <c r="T112" s="14">
        <f>'Założenia-dane wejściowe '!U94</f>
        <v>3441</v>
      </c>
      <c r="U112" s="14">
        <f>'Założenia-dane wejściowe '!V94</f>
        <v>3441</v>
      </c>
      <c r="V112" s="14">
        <f>'Założenia-dane wejściowe '!W94</f>
        <v>3441</v>
      </c>
      <c r="W112" s="14">
        <f>'Założenia-dane wejściowe '!X94</f>
        <v>3441</v>
      </c>
      <c r="X112" s="14">
        <f>'Założenia-dane wejściowe '!Y94</f>
        <v>3441</v>
      </c>
      <c r="Y112" s="14">
        <f>'Założenia-dane wejściowe '!Z94</f>
        <v>3441</v>
      </c>
      <c r="Z112" s="14">
        <f>'Założenia-dane wejściowe '!AA94</f>
        <v>3441</v>
      </c>
      <c r="AA112" s="14">
        <f>'Założenia-dane wejściowe '!AB94</f>
        <v>3441</v>
      </c>
      <c r="AB112" s="14">
        <f>'Założenia-dane wejściowe '!AC94</f>
        <v>3441</v>
      </c>
      <c r="AC112" s="14">
        <f>'Założenia-dane wejściowe '!AD94</f>
        <v>3441</v>
      </c>
      <c r="AD112" s="14">
        <f>'Założenia-dane wejściowe '!AE94</f>
        <v>3441</v>
      </c>
      <c r="AE112" s="14">
        <f>'Założenia-dane wejściowe '!AF94</f>
        <v>3441</v>
      </c>
      <c r="AF112" s="14">
        <f>'Założenia-dane wejściowe '!AG94</f>
        <v>3441</v>
      </c>
      <c r="AG112" s="14">
        <f>'Założenia-dane wejściowe '!AH94</f>
        <v>3441</v>
      </c>
      <c r="AH112" s="14">
        <f>'Założenia-dane wejściowe '!AI94</f>
        <v>3441</v>
      </c>
    </row>
    <row r="113" spans="1:34" s="140" customFormat="1" ht="27" x14ac:dyDescent="0.25">
      <c r="A113" s="13" t="s">
        <v>271</v>
      </c>
      <c r="B113" s="2" t="s">
        <v>13</v>
      </c>
      <c r="C113" s="442">
        <f>'Założenia-dane wejściowe '!D95</f>
        <v>0.8</v>
      </c>
      <c r="D113" s="442">
        <f>'Założenia-dane wejściowe '!E95</f>
        <v>0.8</v>
      </c>
      <c r="E113" s="442">
        <f>'Założenia-dane wejściowe '!F95</f>
        <v>0.8</v>
      </c>
      <c r="F113" s="442">
        <f>'Założenia-dane wejściowe '!G95</f>
        <v>0.8</v>
      </c>
      <c r="G113" s="442">
        <f>'Założenia-dane wejściowe '!H95</f>
        <v>0.8</v>
      </c>
      <c r="H113" s="442">
        <f>'Założenia-dane wejściowe '!I95</f>
        <v>0.8</v>
      </c>
      <c r="I113" s="442">
        <f>'Założenia-dane wejściowe '!J95</f>
        <v>0.8</v>
      </c>
      <c r="J113" s="442">
        <f>'Założenia-dane wejściowe '!K95</f>
        <v>0.8</v>
      </c>
      <c r="K113" s="442">
        <f>'Założenia-dane wejściowe '!L95</f>
        <v>0.8</v>
      </c>
      <c r="L113" s="442">
        <f>'Założenia-dane wejściowe '!M95</f>
        <v>0.8</v>
      </c>
      <c r="M113" s="442">
        <f>'Założenia-dane wejściowe '!N95</f>
        <v>0.8</v>
      </c>
      <c r="N113" s="442">
        <f>'Założenia-dane wejściowe '!O95</f>
        <v>0.8</v>
      </c>
      <c r="O113" s="442">
        <f>'Założenia-dane wejściowe '!P95</f>
        <v>0.8</v>
      </c>
      <c r="P113" s="442">
        <f>'Założenia-dane wejściowe '!Q95</f>
        <v>0.8</v>
      </c>
      <c r="Q113" s="442">
        <f>'Założenia-dane wejściowe '!R95</f>
        <v>0.8</v>
      </c>
      <c r="R113" s="442">
        <f>'Założenia-dane wejściowe '!S95</f>
        <v>0.8</v>
      </c>
      <c r="S113" s="442">
        <f>'Założenia-dane wejściowe '!T95</f>
        <v>0.8</v>
      </c>
      <c r="T113" s="442">
        <f>'Założenia-dane wejściowe '!U95</f>
        <v>0.8</v>
      </c>
      <c r="U113" s="442">
        <f>'Założenia-dane wejściowe '!V95</f>
        <v>0.8</v>
      </c>
      <c r="V113" s="442">
        <f>'Założenia-dane wejściowe '!W95</f>
        <v>0.8</v>
      </c>
      <c r="W113" s="442">
        <f>'Założenia-dane wejściowe '!X95</f>
        <v>0.8</v>
      </c>
      <c r="X113" s="442">
        <f>'Założenia-dane wejściowe '!Y95</f>
        <v>0.8</v>
      </c>
      <c r="Y113" s="442">
        <f>'Założenia-dane wejściowe '!Z95</f>
        <v>0.8</v>
      </c>
      <c r="Z113" s="442">
        <f>'Założenia-dane wejściowe '!AA95</f>
        <v>0.8</v>
      </c>
      <c r="AA113" s="442">
        <f>'Założenia-dane wejściowe '!AB95</f>
        <v>0.8</v>
      </c>
      <c r="AB113" s="442">
        <f>'Założenia-dane wejściowe '!AC95</f>
        <v>0.8</v>
      </c>
      <c r="AC113" s="442">
        <f>'Założenia-dane wejściowe '!AD95</f>
        <v>0.8</v>
      </c>
      <c r="AD113" s="442">
        <f>'Założenia-dane wejściowe '!AE95</f>
        <v>0.8</v>
      </c>
      <c r="AE113" s="442">
        <f>'Założenia-dane wejściowe '!AF95</f>
        <v>0.8</v>
      </c>
      <c r="AF113" s="442">
        <f>'Założenia-dane wejściowe '!AG95</f>
        <v>0.8</v>
      </c>
      <c r="AG113" s="442">
        <f>'Założenia-dane wejściowe '!AH95</f>
        <v>0.8</v>
      </c>
      <c r="AH113" s="442">
        <f>'Założenia-dane wejściowe '!AI95</f>
        <v>0.8</v>
      </c>
    </row>
    <row r="114" spans="1:34" s="140" customFormat="1" ht="40.5" x14ac:dyDescent="0.25">
      <c r="A114" s="13" t="s">
        <v>278</v>
      </c>
      <c r="B114" s="2" t="s">
        <v>12</v>
      </c>
      <c r="C114" s="14">
        <f>'Założenia-dane wejściowe '!D96</f>
        <v>29347</v>
      </c>
      <c r="D114" s="14">
        <f>'Założenia-dane wejściowe '!E96</f>
        <v>29347</v>
      </c>
      <c r="E114" s="14">
        <f>'Założenia-dane wejściowe '!F96</f>
        <v>29347</v>
      </c>
      <c r="F114" s="14">
        <f>'Założenia-dane wejściowe '!G96</f>
        <v>29347</v>
      </c>
      <c r="G114" s="14">
        <f>'Założenia-dane wejściowe '!H96</f>
        <v>29347</v>
      </c>
      <c r="H114" s="14">
        <f>'Założenia-dane wejściowe '!I96</f>
        <v>29347</v>
      </c>
      <c r="I114" s="14">
        <f>'Założenia-dane wejściowe '!J96</f>
        <v>29347</v>
      </c>
      <c r="J114" s="14">
        <f>'Założenia-dane wejściowe '!K96</f>
        <v>29347</v>
      </c>
      <c r="K114" s="14">
        <f>'Założenia-dane wejściowe '!L96</f>
        <v>30547</v>
      </c>
      <c r="L114" s="14">
        <f>'Założenia-dane wejściowe '!M96</f>
        <v>30547</v>
      </c>
      <c r="M114" s="14">
        <f>'Założenia-dane wejściowe '!N96</f>
        <v>30547</v>
      </c>
      <c r="N114" s="14">
        <f>'Założenia-dane wejściowe '!O96</f>
        <v>30547</v>
      </c>
      <c r="O114" s="14">
        <f>'Założenia-dane wejściowe '!P96</f>
        <v>30547</v>
      </c>
      <c r="P114" s="14">
        <f>'Założenia-dane wejściowe '!Q96</f>
        <v>30547</v>
      </c>
      <c r="Q114" s="14">
        <f>'Założenia-dane wejściowe '!R96</f>
        <v>30547</v>
      </c>
      <c r="R114" s="14">
        <f>'Założenia-dane wejściowe '!S96</f>
        <v>30547</v>
      </c>
      <c r="S114" s="14">
        <f>'Założenia-dane wejściowe '!T96</f>
        <v>30547</v>
      </c>
      <c r="T114" s="14">
        <f>'Założenia-dane wejściowe '!U96</f>
        <v>30547</v>
      </c>
      <c r="U114" s="14">
        <f>'Założenia-dane wejściowe '!V96</f>
        <v>30547</v>
      </c>
      <c r="V114" s="14">
        <f>'Założenia-dane wejściowe '!W96</f>
        <v>30547</v>
      </c>
      <c r="W114" s="14">
        <f>'Założenia-dane wejściowe '!X96</f>
        <v>30547</v>
      </c>
      <c r="X114" s="14">
        <f>'Założenia-dane wejściowe '!Y96</f>
        <v>30547</v>
      </c>
      <c r="Y114" s="14">
        <f>'Założenia-dane wejściowe '!Z96</f>
        <v>30547</v>
      </c>
      <c r="Z114" s="14">
        <f>'Założenia-dane wejściowe '!AA96</f>
        <v>30547</v>
      </c>
      <c r="AA114" s="14">
        <f>'Założenia-dane wejściowe '!AB96</f>
        <v>30547</v>
      </c>
      <c r="AB114" s="14">
        <f>'Założenia-dane wejściowe '!AC96</f>
        <v>30547</v>
      </c>
      <c r="AC114" s="14">
        <f>'Założenia-dane wejściowe '!AD96</f>
        <v>30547</v>
      </c>
      <c r="AD114" s="14">
        <f>'Założenia-dane wejściowe '!AE96</f>
        <v>30547</v>
      </c>
      <c r="AE114" s="14">
        <f>'Założenia-dane wejściowe '!AF96</f>
        <v>30547</v>
      </c>
      <c r="AF114" s="14">
        <f>'Założenia-dane wejściowe '!AG96</f>
        <v>30547</v>
      </c>
      <c r="AG114" s="14">
        <f>'Założenia-dane wejściowe '!AH96</f>
        <v>30547</v>
      </c>
      <c r="AH114" s="14">
        <f>'Założenia-dane wejściowe '!AI96</f>
        <v>30547</v>
      </c>
    </row>
    <row r="115" spans="1:34" s="140" customFormat="1" ht="27" x14ac:dyDescent="0.25">
      <c r="A115" s="13" t="s">
        <v>273</v>
      </c>
      <c r="B115" s="212" t="s">
        <v>13</v>
      </c>
      <c r="C115" s="442">
        <f>'Założenia-dane wejściowe '!D97</f>
        <v>0.17</v>
      </c>
      <c r="D115" s="442">
        <f>'Założenia-dane wejściowe '!E97</f>
        <v>0.17</v>
      </c>
      <c r="E115" s="442">
        <f>'Założenia-dane wejściowe '!F97</f>
        <v>0.17</v>
      </c>
      <c r="F115" s="442">
        <f>'Założenia-dane wejściowe '!G97</f>
        <v>0.17</v>
      </c>
      <c r="G115" s="442">
        <f>'Założenia-dane wejściowe '!H97</f>
        <v>0.17</v>
      </c>
      <c r="H115" s="442">
        <f>'Założenia-dane wejściowe '!I97</f>
        <v>0.17</v>
      </c>
      <c r="I115" s="442">
        <f>'Założenia-dane wejściowe '!J97</f>
        <v>0.17</v>
      </c>
      <c r="J115" s="442">
        <f>'Założenia-dane wejściowe '!K97</f>
        <v>0.17</v>
      </c>
      <c r="K115" s="442">
        <f>'Założenia-dane wejściowe '!L97</f>
        <v>0.17</v>
      </c>
      <c r="L115" s="442">
        <f>'Założenia-dane wejściowe '!M97</f>
        <v>0.17</v>
      </c>
      <c r="M115" s="442">
        <f>'Założenia-dane wejściowe '!N97</f>
        <v>0.17</v>
      </c>
      <c r="N115" s="442">
        <f>'Założenia-dane wejściowe '!O97</f>
        <v>0.17</v>
      </c>
      <c r="O115" s="442">
        <f>'Założenia-dane wejściowe '!P97</f>
        <v>0.17</v>
      </c>
      <c r="P115" s="442">
        <f>'Założenia-dane wejściowe '!Q97</f>
        <v>0.17</v>
      </c>
      <c r="Q115" s="442">
        <f>'Założenia-dane wejściowe '!R97</f>
        <v>0.17</v>
      </c>
      <c r="R115" s="442">
        <f>'Założenia-dane wejściowe '!S97</f>
        <v>0.17</v>
      </c>
      <c r="S115" s="442">
        <f>'Założenia-dane wejściowe '!T97</f>
        <v>0.17</v>
      </c>
      <c r="T115" s="442">
        <f>'Założenia-dane wejściowe '!U97</f>
        <v>0.17</v>
      </c>
      <c r="U115" s="442">
        <f>'Założenia-dane wejściowe '!V97</f>
        <v>0.17</v>
      </c>
      <c r="V115" s="442">
        <f>'Założenia-dane wejściowe '!W97</f>
        <v>0.17</v>
      </c>
      <c r="W115" s="442">
        <f>'Założenia-dane wejściowe '!X97</f>
        <v>0.17</v>
      </c>
      <c r="X115" s="442">
        <f>'Założenia-dane wejściowe '!Y97</f>
        <v>0.17</v>
      </c>
      <c r="Y115" s="442">
        <f>'Założenia-dane wejściowe '!Z97</f>
        <v>0.17</v>
      </c>
      <c r="Z115" s="442">
        <f>'Założenia-dane wejściowe '!AA97</f>
        <v>0.17</v>
      </c>
      <c r="AA115" s="442">
        <f>'Założenia-dane wejściowe '!AB97</f>
        <v>0.17</v>
      </c>
      <c r="AB115" s="442">
        <f>'Założenia-dane wejściowe '!AC97</f>
        <v>0.17</v>
      </c>
      <c r="AC115" s="442">
        <f>'Założenia-dane wejściowe '!AD97</f>
        <v>0.17</v>
      </c>
      <c r="AD115" s="442">
        <f>'Założenia-dane wejściowe '!AE97</f>
        <v>0.17</v>
      </c>
      <c r="AE115" s="442">
        <f>'Założenia-dane wejściowe '!AF97</f>
        <v>0.17</v>
      </c>
      <c r="AF115" s="442">
        <f>'Założenia-dane wejściowe '!AG97</f>
        <v>0.17</v>
      </c>
      <c r="AG115" s="442">
        <f>'Założenia-dane wejściowe '!AH97</f>
        <v>0.17</v>
      </c>
      <c r="AH115" s="442">
        <f>'Założenia-dane wejściowe '!AI97</f>
        <v>0.17</v>
      </c>
    </row>
    <row r="116" spans="1:34" s="140" customFormat="1" ht="13.5" x14ac:dyDescent="0.25">
      <c r="A116" s="213" t="s">
        <v>337</v>
      </c>
      <c r="B116" s="214" t="s">
        <v>13</v>
      </c>
      <c r="C116" s="215">
        <f>C117+C118+C119</f>
        <v>32682.267630000002</v>
      </c>
      <c r="D116" s="215">
        <f>D117+D118+D119</f>
        <v>32682.267630000002</v>
      </c>
      <c r="E116" s="215">
        <f>E117+E118+E119</f>
        <v>32682.267630000002</v>
      </c>
      <c r="F116" s="216">
        <f>F117+F118+F119</f>
        <v>32682.267630000002</v>
      </c>
      <c r="G116" s="216">
        <f t="shared" ref="G116:AG116" si="60">G117+G118+G119</f>
        <v>32682.267630000002</v>
      </c>
      <c r="H116" s="216">
        <f t="shared" si="60"/>
        <v>32682.267630000002</v>
      </c>
      <c r="I116" s="216">
        <f t="shared" si="60"/>
        <v>32682.267630000002</v>
      </c>
      <c r="J116" s="216">
        <f t="shared" si="60"/>
        <v>32682.267630000002</v>
      </c>
      <c r="K116" s="216">
        <f t="shared" si="60"/>
        <v>37862.159629999995</v>
      </c>
      <c r="L116" s="216">
        <f t="shared" si="60"/>
        <v>37862.159629999995</v>
      </c>
      <c r="M116" s="216">
        <f t="shared" si="60"/>
        <v>37862.159629999995</v>
      </c>
      <c r="N116" s="216">
        <f t="shared" si="60"/>
        <v>37862.159629999995</v>
      </c>
      <c r="O116" s="216">
        <f t="shared" si="60"/>
        <v>37862.159629999995</v>
      </c>
      <c r="P116" s="216">
        <f t="shared" si="60"/>
        <v>37862.159629999995</v>
      </c>
      <c r="Q116" s="216">
        <f t="shared" si="60"/>
        <v>37862.159629999995</v>
      </c>
      <c r="R116" s="216">
        <f t="shared" si="60"/>
        <v>37862.159629999995</v>
      </c>
      <c r="S116" s="216">
        <f t="shared" si="60"/>
        <v>37862.159629999995</v>
      </c>
      <c r="T116" s="216">
        <f t="shared" si="60"/>
        <v>37862.159629999995</v>
      </c>
      <c r="U116" s="216">
        <f t="shared" si="60"/>
        <v>37862.159629999995</v>
      </c>
      <c r="V116" s="216">
        <f t="shared" si="60"/>
        <v>37862.159629999995</v>
      </c>
      <c r="W116" s="216">
        <f t="shared" si="60"/>
        <v>37862.159629999995</v>
      </c>
      <c r="X116" s="216">
        <f t="shared" si="60"/>
        <v>37862.159629999995</v>
      </c>
      <c r="Y116" s="216">
        <f t="shared" si="60"/>
        <v>37862.159629999995</v>
      </c>
      <c r="Z116" s="216">
        <f t="shared" si="60"/>
        <v>37862.159629999995</v>
      </c>
      <c r="AA116" s="216">
        <f t="shared" si="60"/>
        <v>37862.159629999995</v>
      </c>
      <c r="AB116" s="216">
        <f t="shared" si="60"/>
        <v>37862.159629999995</v>
      </c>
      <c r="AC116" s="216">
        <f t="shared" si="60"/>
        <v>37862.159629999995</v>
      </c>
      <c r="AD116" s="216">
        <f t="shared" si="60"/>
        <v>37862.159629999995</v>
      </c>
      <c r="AE116" s="216">
        <f t="shared" si="60"/>
        <v>37862.159629999995</v>
      </c>
      <c r="AF116" s="216">
        <f t="shared" si="60"/>
        <v>37862.159629999995</v>
      </c>
      <c r="AG116" s="216">
        <f t="shared" si="60"/>
        <v>37862.159629999995</v>
      </c>
      <c r="AH116" s="216">
        <f>AH117+AH118+AH119</f>
        <v>37862.159629999995</v>
      </c>
    </row>
    <row r="117" spans="1:34" s="140" customFormat="1" ht="13.5" x14ac:dyDescent="0.25">
      <c r="A117" s="217" t="s">
        <v>73</v>
      </c>
      <c r="B117" s="212" t="s">
        <v>13</v>
      </c>
      <c r="C117" s="218">
        <f t="shared" ref="C117:AG117" si="61">C109*C110*C111</f>
        <v>24948.477630000001</v>
      </c>
      <c r="D117" s="218">
        <f t="shared" si="61"/>
        <v>24948.477630000001</v>
      </c>
      <c r="E117" s="218">
        <f t="shared" si="61"/>
        <v>24948.477630000001</v>
      </c>
      <c r="F117" s="218">
        <f t="shared" si="61"/>
        <v>24948.477630000001</v>
      </c>
      <c r="G117" s="218">
        <f t="shared" si="61"/>
        <v>24948.477630000001</v>
      </c>
      <c r="H117" s="218">
        <f t="shared" si="61"/>
        <v>24948.477630000001</v>
      </c>
      <c r="I117" s="218">
        <f t="shared" si="61"/>
        <v>24948.477630000001</v>
      </c>
      <c r="J117" s="218">
        <f t="shared" si="61"/>
        <v>24948.477630000001</v>
      </c>
      <c r="K117" s="218">
        <f t="shared" si="61"/>
        <v>29916.369629999997</v>
      </c>
      <c r="L117" s="218">
        <f t="shared" si="61"/>
        <v>29916.369629999997</v>
      </c>
      <c r="M117" s="218">
        <f t="shared" si="61"/>
        <v>29916.369629999997</v>
      </c>
      <c r="N117" s="218">
        <f t="shared" si="61"/>
        <v>29916.369629999997</v>
      </c>
      <c r="O117" s="218">
        <f t="shared" si="61"/>
        <v>29916.369629999997</v>
      </c>
      <c r="P117" s="218">
        <f t="shared" si="61"/>
        <v>29916.369629999997</v>
      </c>
      <c r="Q117" s="218">
        <f t="shared" si="61"/>
        <v>29916.369629999997</v>
      </c>
      <c r="R117" s="218">
        <f t="shared" si="61"/>
        <v>29916.369629999997</v>
      </c>
      <c r="S117" s="218">
        <f t="shared" si="61"/>
        <v>29916.369629999997</v>
      </c>
      <c r="T117" s="218">
        <f t="shared" si="61"/>
        <v>29916.369629999997</v>
      </c>
      <c r="U117" s="218">
        <f t="shared" si="61"/>
        <v>29916.369629999997</v>
      </c>
      <c r="V117" s="218">
        <f t="shared" si="61"/>
        <v>29916.369629999997</v>
      </c>
      <c r="W117" s="218">
        <f t="shared" si="61"/>
        <v>29916.369629999997</v>
      </c>
      <c r="X117" s="218">
        <f t="shared" si="61"/>
        <v>29916.369629999997</v>
      </c>
      <c r="Y117" s="218">
        <f t="shared" si="61"/>
        <v>29916.369629999997</v>
      </c>
      <c r="Z117" s="218">
        <f t="shared" si="61"/>
        <v>29916.369629999997</v>
      </c>
      <c r="AA117" s="218">
        <f t="shared" si="61"/>
        <v>29916.369629999997</v>
      </c>
      <c r="AB117" s="218">
        <f t="shared" si="61"/>
        <v>29916.369629999997</v>
      </c>
      <c r="AC117" s="218">
        <f t="shared" si="61"/>
        <v>29916.369629999997</v>
      </c>
      <c r="AD117" s="218">
        <f t="shared" si="61"/>
        <v>29916.369629999997</v>
      </c>
      <c r="AE117" s="218">
        <f t="shared" si="61"/>
        <v>29916.369629999997</v>
      </c>
      <c r="AF117" s="218">
        <f t="shared" si="61"/>
        <v>29916.369629999997</v>
      </c>
      <c r="AG117" s="218">
        <f t="shared" si="61"/>
        <v>29916.369629999997</v>
      </c>
      <c r="AH117" s="218">
        <f>AH109*AH110*AH111</f>
        <v>29916.369629999997</v>
      </c>
    </row>
    <row r="118" spans="1:34" s="140" customFormat="1" ht="13.5" x14ac:dyDescent="0.25">
      <c r="A118" s="217" t="s">
        <v>364</v>
      </c>
      <c r="B118" s="212" t="s">
        <v>13</v>
      </c>
      <c r="C118" s="218">
        <f>C112*C113</f>
        <v>2744.8</v>
      </c>
      <c r="D118" s="218">
        <f>D112*D113</f>
        <v>2744.8</v>
      </c>
      <c r="E118" s="218">
        <f>E112*E113</f>
        <v>2744.8</v>
      </c>
      <c r="F118" s="219">
        <f>F112*F113</f>
        <v>2744.8</v>
      </c>
      <c r="G118" s="219">
        <f t="shared" ref="G118:AG118" si="62">G112*G113</f>
        <v>2744.8</v>
      </c>
      <c r="H118" s="219">
        <f t="shared" si="62"/>
        <v>2744.8</v>
      </c>
      <c r="I118" s="219">
        <f t="shared" si="62"/>
        <v>2744.8</v>
      </c>
      <c r="J118" s="219">
        <f t="shared" si="62"/>
        <v>2744.8</v>
      </c>
      <c r="K118" s="219">
        <f t="shared" si="62"/>
        <v>2752.8</v>
      </c>
      <c r="L118" s="219">
        <f t="shared" si="62"/>
        <v>2752.8</v>
      </c>
      <c r="M118" s="219">
        <f t="shared" si="62"/>
        <v>2752.8</v>
      </c>
      <c r="N118" s="219">
        <f t="shared" si="62"/>
        <v>2752.8</v>
      </c>
      <c r="O118" s="219">
        <f t="shared" si="62"/>
        <v>2752.8</v>
      </c>
      <c r="P118" s="219">
        <f t="shared" si="62"/>
        <v>2752.8</v>
      </c>
      <c r="Q118" s="219">
        <f t="shared" si="62"/>
        <v>2752.8</v>
      </c>
      <c r="R118" s="219">
        <f t="shared" si="62"/>
        <v>2752.8</v>
      </c>
      <c r="S118" s="219">
        <f t="shared" si="62"/>
        <v>2752.8</v>
      </c>
      <c r="T118" s="219">
        <f t="shared" si="62"/>
        <v>2752.8</v>
      </c>
      <c r="U118" s="219">
        <f t="shared" si="62"/>
        <v>2752.8</v>
      </c>
      <c r="V118" s="219">
        <f t="shared" si="62"/>
        <v>2752.8</v>
      </c>
      <c r="W118" s="219">
        <f t="shared" si="62"/>
        <v>2752.8</v>
      </c>
      <c r="X118" s="219">
        <f t="shared" si="62"/>
        <v>2752.8</v>
      </c>
      <c r="Y118" s="219">
        <f t="shared" si="62"/>
        <v>2752.8</v>
      </c>
      <c r="Z118" s="219">
        <f t="shared" si="62"/>
        <v>2752.8</v>
      </c>
      <c r="AA118" s="219">
        <f t="shared" si="62"/>
        <v>2752.8</v>
      </c>
      <c r="AB118" s="219">
        <f t="shared" si="62"/>
        <v>2752.8</v>
      </c>
      <c r="AC118" s="219">
        <f t="shared" si="62"/>
        <v>2752.8</v>
      </c>
      <c r="AD118" s="219">
        <f t="shared" si="62"/>
        <v>2752.8</v>
      </c>
      <c r="AE118" s="219">
        <f t="shared" si="62"/>
        <v>2752.8</v>
      </c>
      <c r="AF118" s="219">
        <f t="shared" si="62"/>
        <v>2752.8</v>
      </c>
      <c r="AG118" s="219">
        <f t="shared" si="62"/>
        <v>2752.8</v>
      </c>
      <c r="AH118" s="219">
        <f>AH112*AH113</f>
        <v>2752.8</v>
      </c>
    </row>
    <row r="119" spans="1:34" s="140" customFormat="1" ht="13.5" x14ac:dyDescent="0.25">
      <c r="A119" s="217" t="s">
        <v>365</v>
      </c>
      <c r="B119" s="212" t="s">
        <v>13</v>
      </c>
      <c r="C119" s="218">
        <f>C114*C115</f>
        <v>4988.9900000000007</v>
      </c>
      <c r="D119" s="218">
        <f>D114*D115</f>
        <v>4988.9900000000007</v>
      </c>
      <c r="E119" s="218">
        <f>E114*E115</f>
        <v>4988.9900000000007</v>
      </c>
      <c r="F119" s="219">
        <f>F114*F115</f>
        <v>4988.9900000000007</v>
      </c>
      <c r="G119" s="219">
        <f t="shared" ref="G119:AG119" si="63">G114*G115</f>
        <v>4988.9900000000007</v>
      </c>
      <c r="H119" s="219">
        <f t="shared" si="63"/>
        <v>4988.9900000000007</v>
      </c>
      <c r="I119" s="219">
        <f t="shared" si="63"/>
        <v>4988.9900000000007</v>
      </c>
      <c r="J119" s="219">
        <f t="shared" si="63"/>
        <v>4988.9900000000007</v>
      </c>
      <c r="K119" s="219">
        <f t="shared" si="63"/>
        <v>5192.9900000000007</v>
      </c>
      <c r="L119" s="219">
        <f t="shared" si="63"/>
        <v>5192.9900000000007</v>
      </c>
      <c r="M119" s="219">
        <f t="shared" si="63"/>
        <v>5192.9900000000007</v>
      </c>
      <c r="N119" s="219">
        <f t="shared" si="63"/>
        <v>5192.9900000000007</v>
      </c>
      <c r="O119" s="219">
        <f t="shared" si="63"/>
        <v>5192.9900000000007</v>
      </c>
      <c r="P119" s="219">
        <f t="shared" si="63"/>
        <v>5192.9900000000007</v>
      </c>
      <c r="Q119" s="219">
        <f t="shared" si="63"/>
        <v>5192.9900000000007</v>
      </c>
      <c r="R119" s="219">
        <f t="shared" si="63"/>
        <v>5192.9900000000007</v>
      </c>
      <c r="S119" s="219">
        <f t="shared" si="63"/>
        <v>5192.9900000000007</v>
      </c>
      <c r="T119" s="219">
        <f t="shared" si="63"/>
        <v>5192.9900000000007</v>
      </c>
      <c r="U119" s="219">
        <f t="shared" si="63"/>
        <v>5192.9900000000007</v>
      </c>
      <c r="V119" s="219">
        <f t="shared" si="63"/>
        <v>5192.9900000000007</v>
      </c>
      <c r="W119" s="219">
        <f t="shared" si="63"/>
        <v>5192.9900000000007</v>
      </c>
      <c r="X119" s="219">
        <f t="shared" si="63"/>
        <v>5192.9900000000007</v>
      </c>
      <c r="Y119" s="219">
        <f t="shared" si="63"/>
        <v>5192.9900000000007</v>
      </c>
      <c r="Z119" s="219">
        <f t="shared" si="63"/>
        <v>5192.9900000000007</v>
      </c>
      <c r="AA119" s="219">
        <f t="shared" si="63"/>
        <v>5192.9900000000007</v>
      </c>
      <c r="AB119" s="219">
        <f t="shared" si="63"/>
        <v>5192.9900000000007</v>
      </c>
      <c r="AC119" s="219">
        <f t="shared" si="63"/>
        <v>5192.9900000000007</v>
      </c>
      <c r="AD119" s="219">
        <f t="shared" si="63"/>
        <v>5192.9900000000007</v>
      </c>
      <c r="AE119" s="219">
        <f t="shared" si="63"/>
        <v>5192.9900000000007</v>
      </c>
      <c r="AF119" s="219">
        <f t="shared" si="63"/>
        <v>5192.9900000000007</v>
      </c>
      <c r="AG119" s="219">
        <f t="shared" si="63"/>
        <v>5192.9900000000007</v>
      </c>
      <c r="AH119" s="219">
        <f>AH114*AH115</f>
        <v>5192.9900000000007</v>
      </c>
    </row>
    <row r="120" spans="1:34" s="140" customFormat="1" ht="13.5" x14ac:dyDescent="0.25">
      <c r="A120" s="213" t="s">
        <v>338</v>
      </c>
      <c r="B120" s="214" t="s">
        <v>77</v>
      </c>
      <c r="C120" s="220">
        <f>C121+C122+C123</f>
        <v>11929027.68495</v>
      </c>
      <c r="D120" s="220">
        <f>D121+D122+D123</f>
        <v>11929027.68495</v>
      </c>
      <c r="E120" s="220">
        <f>E121+E122+E123</f>
        <v>11929027.68495</v>
      </c>
      <c r="F120" s="221">
        <f>F121+F122+F123</f>
        <v>11929027.68495</v>
      </c>
      <c r="G120" s="221">
        <f t="shared" ref="G120:AG120" si="64">G121+G122+G123</f>
        <v>11929027.68495</v>
      </c>
      <c r="H120" s="221">
        <f t="shared" si="64"/>
        <v>11929027.68495</v>
      </c>
      <c r="I120" s="221">
        <f t="shared" si="64"/>
        <v>11929027.68495</v>
      </c>
      <c r="J120" s="221">
        <f t="shared" si="64"/>
        <v>11929027.68495</v>
      </c>
      <c r="K120" s="221">
        <f t="shared" si="64"/>
        <v>13819688.264949998</v>
      </c>
      <c r="L120" s="221">
        <f t="shared" si="64"/>
        <v>13819688.264949998</v>
      </c>
      <c r="M120" s="221">
        <f t="shared" si="64"/>
        <v>13819688.264949998</v>
      </c>
      <c r="N120" s="221">
        <f t="shared" si="64"/>
        <v>13819688.264949998</v>
      </c>
      <c r="O120" s="221">
        <f t="shared" si="64"/>
        <v>13819688.264949998</v>
      </c>
      <c r="P120" s="221">
        <f t="shared" si="64"/>
        <v>13819688.264949998</v>
      </c>
      <c r="Q120" s="221">
        <f t="shared" si="64"/>
        <v>13819688.264949998</v>
      </c>
      <c r="R120" s="221">
        <f t="shared" si="64"/>
        <v>13819688.264949998</v>
      </c>
      <c r="S120" s="221">
        <f t="shared" si="64"/>
        <v>13819688.264949998</v>
      </c>
      <c r="T120" s="221">
        <f t="shared" si="64"/>
        <v>13819688.264949998</v>
      </c>
      <c r="U120" s="221">
        <f t="shared" si="64"/>
        <v>13819688.264949998</v>
      </c>
      <c r="V120" s="221">
        <f t="shared" si="64"/>
        <v>13819688.264949998</v>
      </c>
      <c r="W120" s="221">
        <f t="shared" si="64"/>
        <v>13819688.264949998</v>
      </c>
      <c r="X120" s="221">
        <f t="shared" si="64"/>
        <v>13819688.264949998</v>
      </c>
      <c r="Y120" s="221">
        <f t="shared" si="64"/>
        <v>13819688.264949998</v>
      </c>
      <c r="Z120" s="221">
        <f t="shared" si="64"/>
        <v>13819688.264949998</v>
      </c>
      <c r="AA120" s="221">
        <f t="shared" si="64"/>
        <v>13819688.264949998</v>
      </c>
      <c r="AB120" s="221">
        <f t="shared" si="64"/>
        <v>13819688.264949998</v>
      </c>
      <c r="AC120" s="221">
        <f t="shared" si="64"/>
        <v>13819688.264949998</v>
      </c>
      <c r="AD120" s="221">
        <f t="shared" si="64"/>
        <v>13819688.264949998</v>
      </c>
      <c r="AE120" s="221">
        <f t="shared" si="64"/>
        <v>13819688.264949998</v>
      </c>
      <c r="AF120" s="221">
        <f t="shared" si="64"/>
        <v>13819688.264949998</v>
      </c>
      <c r="AG120" s="221">
        <f t="shared" si="64"/>
        <v>13819688.264949998</v>
      </c>
      <c r="AH120" s="221">
        <f>AH121+AH122+AH123</f>
        <v>13819688.264949998</v>
      </c>
    </row>
    <row r="121" spans="1:34" s="140" customFormat="1" ht="13.5" x14ac:dyDescent="0.25">
      <c r="A121" s="217" t="s">
        <v>73</v>
      </c>
      <c r="B121" s="212" t="s">
        <v>77</v>
      </c>
      <c r="C121" s="222">
        <f>C117*$B$124</f>
        <v>9106194.33495</v>
      </c>
      <c r="D121" s="222">
        <f t="shared" ref="D121:AG123" si="65">D117*$B$124</f>
        <v>9106194.33495</v>
      </c>
      <c r="E121" s="222">
        <f t="shared" si="65"/>
        <v>9106194.33495</v>
      </c>
      <c r="F121" s="222">
        <f t="shared" si="65"/>
        <v>9106194.33495</v>
      </c>
      <c r="G121" s="222">
        <f t="shared" si="65"/>
        <v>9106194.33495</v>
      </c>
      <c r="H121" s="222">
        <f t="shared" si="65"/>
        <v>9106194.33495</v>
      </c>
      <c r="I121" s="222">
        <f t="shared" si="65"/>
        <v>9106194.33495</v>
      </c>
      <c r="J121" s="222">
        <f t="shared" si="65"/>
        <v>9106194.33495</v>
      </c>
      <c r="K121" s="222">
        <f t="shared" si="65"/>
        <v>10919474.914949998</v>
      </c>
      <c r="L121" s="222">
        <f t="shared" si="65"/>
        <v>10919474.914949998</v>
      </c>
      <c r="M121" s="222">
        <f t="shared" si="65"/>
        <v>10919474.914949998</v>
      </c>
      <c r="N121" s="222">
        <f t="shared" si="65"/>
        <v>10919474.914949998</v>
      </c>
      <c r="O121" s="222">
        <f t="shared" si="65"/>
        <v>10919474.914949998</v>
      </c>
      <c r="P121" s="222">
        <f t="shared" si="65"/>
        <v>10919474.914949998</v>
      </c>
      <c r="Q121" s="222">
        <f t="shared" si="65"/>
        <v>10919474.914949998</v>
      </c>
      <c r="R121" s="222">
        <f t="shared" si="65"/>
        <v>10919474.914949998</v>
      </c>
      <c r="S121" s="222">
        <f t="shared" si="65"/>
        <v>10919474.914949998</v>
      </c>
      <c r="T121" s="222">
        <f t="shared" si="65"/>
        <v>10919474.914949998</v>
      </c>
      <c r="U121" s="222">
        <f t="shared" si="65"/>
        <v>10919474.914949998</v>
      </c>
      <c r="V121" s="222">
        <f t="shared" si="65"/>
        <v>10919474.914949998</v>
      </c>
      <c r="W121" s="222">
        <f t="shared" si="65"/>
        <v>10919474.914949998</v>
      </c>
      <c r="X121" s="222">
        <f t="shared" si="65"/>
        <v>10919474.914949998</v>
      </c>
      <c r="Y121" s="222">
        <f t="shared" si="65"/>
        <v>10919474.914949998</v>
      </c>
      <c r="Z121" s="222">
        <f t="shared" si="65"/>
        <v>10919474.914949998</v>
      </c>
      <c r="AA121" s="222">
        <f t="shared" si="65"/>
        <v>10919474.914949998</v>
      </c>
      <c r="AB121" s="222">
        <f t="shared" si="65"/>
        <v>10919474.914949998</v>
      </c>
      <c r="AC121" s="222">
        <f t="shared" si="65"/>
        <v>10919474.914949998</v>
      </c>
      <c r="AD121" s="222">
        <f t="shared" si="65"/>
        <v>10919474.914949998</v>
      </c>
      <c r="AE121" s="222">
        <f t="shared" si="65"/>
        <v>10919474.914949998</v>
      </c>
      <c r="AF121" s="222">
        <f t="shared" si="65"/>
        <v>10919474.914949998</v>
      </c>
      <c r="AG121" s="222">
        <f t="shared" si="65"/>
        <v>10919474.914949998</v>
      </c>
      <c r="AH121" s="222">
        <f>AH117*$B$124</f>
        <v>10919474.914949998</v>
      </c>
    </row>
    <row r="122" spans="1:34" s="140" customFormat="1" ht="13.5" x14ac:dyDescent="0.25">
      <c r="A122" s="217" t="s">
        <v>364</v>
      </c>
      <c r="B122" s="212" t="s">
        <v>77</v>
      </c>
      <c r="C122" s="222">
        <f t="shared" ref="C122:R123" si="66">C118*$B$124</f>
        <v>1001852.0000000001</v>
      </c>
      <c r="D122" s="222">
        <f t="shared" si="66"/>
        <v>1001852.0000000001</v>
      </c>
      <c r="E122" s="222">
        <f t="shared" si="66"/>
        <v>1001852.0000000001</v>
      </c>
      <c r="F122" s="222">
        <f t="shared" si="66"/>
        <v>1001852.0000000001</v>
      </c>
      <c r="G122" s="222">
        <f t="shared" si="66"/>
        <v>1001852.0000000001</v>
      </c>
      <c r="H122" s="222">
        <f t="shared" si="66"/>
        <v>1001852.0000000001</v>
      </c>
      <c r="I122" s="222">
        <f t="shared" si="66"/>
        <v>1001852.0000000001</v>
      </c>
      <c r="J122" s="222">
        <f t="shared" si="66"/>
        <v>1001852.0000000001</v>
      </c>
      <c r="K122" s="222">
        <f t="shared" si="66"/>
        <v>1004772.0000000001</v>
      </c>
      <c r="L122" s="222">
        <f t="shared" si="66"/>
        <v>1004772.0000000001</v>
      </c>
      <c r="M122" s="222">
        <f t="shared" si="66"/>
        <v>1004772.0000000001</v>
      </c>
      <c r="N122" s="222">
        <f t="shared" si="66"/>
        <v>1004772.0000000001</v>
      </c>
      <c r="O122" s="222">
        <f t="shared" si="66"/>
        <v>1004772.0000000001</v>
      </c>
      <c r="P122" s="222">
        <f t="shared" si="66"/>
        <v>1004772.0000000001</v>
      </c>
      <c r="Q122" s="222">
        <f t="shared" si="66"/>
        <v>1004772.0000000001</v>
      </c>
      <c r="R122" s="222">
        <f t="shared" si="66"/>
        <v>1004772.0000000001</v>
      </c>
      <c r="S122" s="222">
        <f t="shared" si="65"/>
        <v>1004772.0000000001</v>
      </c>
      <c r="T122" s="222">
        <f t="shared" si="65"/>
        <v>1004772.0000000001</v>
      </c>
      <c r="U122" s="222">
        <f t="shared" si="65"/>
        <v>1004772.0000000001</v>
      </c>
      <c r="V122" s="222">
        <f t="shared" si="65"/>
        <v>1004772.0000000001</v>
      </c>
      <c r="W122" s="222">
        <f t="shared" si="65"/>
        <v>1004772.0000000001</v>
      </c>
      <c r="X122" s="222">
        <f t="shared" si="65"/>
        <v>1004772.0000000001</v>
      </c>
      <c r="Y122" s="222">
        <f t="shared" si="65"/>
        <v>1004772.0000000001</v>
      </c>
      <c r="Z122" s="222">
        <f t="shared" si="65"/>
        <v>1004772.0000000001</v>
      </c>
      <c r="AA122" s="222">
        <f t="shared" si="65"/>
        <v>1004772.0000000001</v>
      </c>
      <c r="AB122" s="222">
        <f t="shared" si="65"/>
        <v>1004772.0000000001</v>
      </c>
      <c r="AC122" s="222">
        <f t="shared" si="65"/>
        <v>1004772.0000000001</v>
      </c>
      <c r="AD122" s="222">
        <f t="shared" si="65"/>
        <v>1004772.0000000001</v>
      </c>
      <c r="AE122" s="222">
        <f t="shared" si="65"/>
        <v>1004772.0000000001</v>
      </c>
      <c r="AF122" s="222">
        <f t="shared" si="65"/>
        <v>1004772.0000000001</v>
      </c>
      <c r="AG122" s="222">
        <f t="shared" si="65"/>
        <v>1004772.0000000001</v>
      </c>
      <c r="AH122" s="222">
        <f>AH118*$B$124</f>
        <v>1004772.0000000001</v>
      </c>
    </row>
    <row r="123" spans="1:34" s="140" customFormat="1" ht="13.5" x14ac:dyDescent="0.25">
      <c r="A123" s="217" t="s">
        <v>365</v>
      </c>
      <c r="B123" s="212" t="s">
        <v>77</v>
      </c>
      <c r="C123" s="222">
        <f t="shared" si="66"/>
        <v>1820981.3500000003</v>
      </c>
      <c r="D123" s="222">
        <f t="shared" si="65"/>
        <v>1820981.3500000003</v>
      </c>
      <c r="E123" s="222">
        <f t="shared" si="65"/>
        <v>1820981.3500000003</v>
      </c>
      <c r="F123" s="222">
        <f t="shared" si="65"/>
        <v>1820981.3500000003</v>
      </c>
      <c r="G123" s="222">
        <f t="shared" si="65"/>
        <v>1820981.3500000003</v>
      </c>
      <c r="H123" s="222">
        <f t="shared" si="65"/>
        <v>1820981.3500000003</v>
      </c>
      <c r="I123" s="222">
        <f t="shared" si="65"/>
        <v>1820981.3500000003</v>
      </c>
      <c r="J123" s="222">
        <f t="shared" si="65"/>
        <v>1820981.3500000003</v>
      </c>
      <c r="K123" s="222">
        <f t="shared" si="65"/>
        <v>1895441.3500000003</v>
      </c>
      <c r="L123" s="222">
        <f t="shared" si="65"/>
        <v>1895441.3500000003</v>
      </c>
      <c r="M123" s="222">
        <f t="shared" si="65"/>
        <v>1895441.3500000003</v>
      </c>
      <c r="N123" s="222">
        <f t="shared" si="65"/>
        <v>1895441.3500000003</v>
      </c>
      <c r="O123" s="222">
        <f t="shared" si="65"/>
        <v>1895441.3500000003</v>
      </c>
      <c r="P123" s="222">
        <f t="shared" si="65"/>
        <v>1895441.3500000003</v>
      </c>
      <c r="Q123" s="222">
        <f t="shared" si="65"/>
        <v>1895441.3500000003</v>
      </c>
      <c r="R123" s="222">
        <f t="shared" si="65"/>
        <v>1895441.3500000003</v>
      </c>
      <c r="S123" s="222">
        <f t="shared" si="65"/>
        <v>1895441.3500000003</v>
      </c>
      <c r="T123" s="222">
        <f t="shared" si="65"/>
        <v>1895441.3500000003</v>
      </c>
      <c r="U123" s="222">
        <f t="shared" si="65"/>
        <v>1895441.3500000003</v>
      </c>
      <c r="V123" s="222">
        <f t="shared" si="65"/>
        <v>1895441.3500000003</v>
      </c>
      <c r="W123" s="222">
        <f t="shared" si="65"/>
        <v>1895441.3500000003</v>
      </c>
      <c r="X123" s="222">
        <f t="shared" si="65"/>
        <v>1895441.3500000003</v>
      </c>
      <c r="Y123" s="222">
        <f t="shared" si="65"/>
        <v>1895441.3500000003</v>
      </c>
      <c r="Z123" s="222">
        <f t="shared" si="65"/>
        <v>1895441.3500000003</v>
      </c>
      <c r="AA123" s="222">
        <f t="shared" si="65"/>
        <v>1895441.3500000003</v>
      </c>
      <c r="AB123" s="222">
        <f t="shared" si="65"/>
        <v>1895441.3500000003</v>
      </c>
      <c r="AC123" s="222">
        <f t="shared" si="65"/>
        <v>1895441.3500000003</v>
      </c>
      <c r="AD123" s="222">
        <f t="shared" si="65"/>
        <v>1895441.3500000003</v>
      </c>
      <c r="AE123" s="222">
        <f t="shared" si="65"/>
        <v>1895441.3500000003</v>
      </c>
      <c r="AF123" s="222">
        <f t="shared" si="65"/>
        <v>1895441.3500000003</v>
      </c>
      <c r="AG123" s="222">
        <f t="shared" si="65"/>
        <v>1895441.3500000003</v>
      </c>
      <c r="AH123" s="222">
        <f>AH119*$B$124</f>
        <v>1895441.3500000003</v>
      </c>
    </row>
    <row r="124" spans="1:34" s="140" customFormat="1" ht="13.5" x14ac:dyDescent="0.2">
      <c r="A124" s="148" t="s">
        <v>78</v>
      </c>
      <c r="B124" s="3">
        <v>365</v>
      </c>
      <c r="C124" s="381">
        <f>C121/C$120</f>
        <v>0.76336433911027246</v>
      </c>
      <c r="D124" s="381">
        <f t="shared" ref="D124:AH124" si="67">D121/D$120</f>
        <v>0.76336433911027246</v>
      </c>
      <c r="E124" s="381">
        <f t="shared" si="67"/>
        <v>0.76336433911027246</v>
      </c>
      <c r="F124" s="381">
        <f t="shared" si="67"/>
        <v>0.76336433911027246</v>
      </c>
      <c r="G124" s="381">
        <f t="shared" si="67"/>
        <v>0.76336433911027246</v>
      </c>
      <c r="H124" s="381">
        <f t="shared" si="67"/>
        <v>0.76336433911027246</v>
      </c>
      <c r="I124" s="381">
        <f t="shared" si="67"/>
        <v>0.76336433911027246</v>
      </c>
      <c r="J124" s="381">
        <f t="shared" si="67"/>
        <v>0.76336433911027246</v>
      </c>
      <c r="K124" s="381">
        <f t="shared" si="67"/>
        <v>0.79013901801565034</v>
      </c>
      <c r="L124" s="381">
        <f t="shared" si="67"/>
        <v>0.79013901801565034</v>
      </c>
      <c r="M124" s="381">
        <f t="shared" si="67"/>
        <v>0.79013901801565034</v>
      </c>
      <c r="N124" s="381">
        <f t="shared" si="67"/>
        <v>0.79013901801565034</v>
      </c>
      <c r="O124" s="381">
        <f t="shared" si="67"/>
        <v>0.79013901801565034</v>
      </c>
      <c r="P124" s="381">
        <f t="shared" si="67"/>
        <v>0.79013901801565034</v>
      </c>
      <c r="Q124" s="381">
        <f t="shared" si="67"/>
        <v>0.79013901801565034</v>
      </c>
      <c r="R124" s="381">
        <f t="shared" si="67"/>
        <v>0.79013901801565034</v>
      </c>
      <c r="S124" s="381">
        <f t="shared" si="67"/>
        <v>0.79013901801565034</v>
      </c>
      <c r="T124" s="381">
        <f t="shared" si="67"/>
        <v>0.79013901801565034</v>
      </c>
      <c r="U124" s="381">
        <f t="shared" si="67"/>
        <v>0.79013901801565034</v>
      </c>
      <c r="V124" s="381">
        <f t="shared" si="67"/>
        <v>0.79013901801565034</v>
      </c>
      <c r="W124" s="381">
        <f t="shared" si="67"/>
        <v>0.79013901801565034</v>
      </c>
      <c r="X124" s="381">
        <f t="shared" si="67"/>
        <v>0.79013901801565034</v>
      </c>
      <c r="Y124" s="381">
        <f t="shared" si="67"/>
        <v>0.79013901801565034</v>
      </c>
      <c r="Z124" s="381">
        <f t="shared" si="67"/>
        <v>0.79013901801565034</v>
      </c>
      <c r="AA124" s="381">
        <f t="shared" si="67"/>
        <v>0.79013901801565034</v>
      </c>
      <c r="AB124" s="381">
        <f t="shared" si="67"/>
        <v>0.79013901801565034</v>
      </c>
      <c r="AC124" s="381">
        <f t="shared" si="67"/>
        <v>0.79013901801565034</v>
      </c>
      <c r="AD124" s="381">
        <f t="shared" si="67"/>
        <v>0.79013901801565034</v>
      </c>
      <c r="AE124" s="381">
        <f t="shared" si="67"/>
        <v>0.79013901801565034</v>
      </c>
      <c r="AF124" s="381">
        <f t="shared" si="67"/>
        <v>0.79013901801565034</v>
      </c>
      <c r="AG124" s="381">
        <f t="shared" si="67"/>
        <v>0.79013901801565034</v>
      </c>
      <c r="AH124" s="381">
        <f t="shared" si="67"/>
        <v>0.79013901801565034</v>
      </c>
    </row>
    <row r="125" spans="1:34" s="140" customFormat="1" ht="13.5" x14ac:dyDescent="0.2">
      <c r="A125" s="148" t="s">
        <v>79</v>
      </c>
      <c r="B125" s="3">
        <v>30</v>
      </c>
      <c r="C125" s="381">
        <f>C122/C$120</f>
        <v>8.3984380492633529E-2</v>
      </c>
      <c r="D125" s="381">
        <f t="shared" ref="D125:AH125" si="68">D122/D$120</f>
        <v>8.3984380492633529E-2</v>
      </c>
      <c r="E125" s="381">
        <f t="shared" si="68"/>
        <v>8.3984380492633529E-2</v>
      </c>
      <c r="F125" s="381">
        <f t="shared" si="68"/>
        <v>8.3984380492633529E-2</v>
      </c>
      <c r="G125" s="381">
        <f t="shared" si="68"/>
        <v>8.3984380492633529E-2</v>
      </c>
      <c r="H125" s="381">
        <f t="shared" si="68"/>
        <v>8.3984380492633529E-2</v>
      </c>
      <c r="I125" s="381">
        <f t="shared" si="68"/>
        <v>8.3984380492633529E-2</v>
      </c>
      <c r="J125" s="381">
        <f t="shared" si="68"/>
        <v>8.3984380492633529E-2</v>
      </c>
      <c r="K125" s="381">
        <f t="shared" si="68"/>
        <v>7.2705836827617873E-2</v>
      </c>
      <c r="L125" s="381">
        <f t="shared" si="68"/>
        <v>7.2705836827617873E-2</v>
      </c>
      <c r="M125" s="381">
        <f t="shared" si="68"/>
        <v>7.2705836827617873E-2</v>
      </c>
      <c r="N125" s="381">
        <f t="shared" si="68"/>
        <v>7.2705836827617873E-2</v>
      </c>
      <c r="O125" s="381">
        <f t="shared" si="68"/>
        <v>7.2705836827617873E-2</v>
      </c>
      <c r="P125" s="381">
        <f t="shared" si="68"/>
        <v>7.2705836827617873E-2</v>
      </c>
      <c r="Q125" s="381">
        <f t="shared" si="68"/>
        <v>7.2705836827617873E-2</v>
      </c>
      <c r="R125" s="381">
        <f t="shared" si="68"/>
        <v>7.2705836827617873E-2</v>
      </c>
      <c r="S125" s="381">
        <f t="shared" si="68"/>
        <v>7.2705836827617873E-2</v>
      </c>
      <c r="T125" s="381">
        <f t="shared" si="68"/>
        <v>7.2705836827617873E-2</v>
      </c>
      <c r="U125" s="381">
        <f t="shared" si="68"/>
        <v>7.2705836827617873E-2</v>
      </c>
      <c r="V125" s="381">
        <f t="shared" si="68"/>
        <v>7.2705836827617873E-2</v>
      </c>
      <c r="W125" s="381">
        <f t="shared" si="68"/>
        <v>7.2705836827617873E-2</v>
      </c>
      <c r="X125" s="381">
        <f t="shared" si="68"/>
        <v>7.2705836827617873E-2</v>
      </c>
      <c r="Y125" s="381">
        <f t="shared" si="68"/>
        <v>7.2705836827617873E-2</v>
      </c>
      <c r="Z125" s="381">
        <f t="shared" si="68"/>
        <v>7.2705836827617873E-2</v>
      </c>
      <c r="AA125" s="381">
        <f t="shared" si="68"/>
        <v>7.2705836827617873E-2</v>
      </c>
      <c r="AB125" s="381">
        <f t="shared" si="68"/>
        <v>7.2705836827617873E-2</v>
      </c>
      <c r="AC125" s="381">
        <f t="shared" si="68"/>
        <v>7.2705836827617873E-2</v>
      </c>
      <c r="AD125" s="381">
        <f t="shared" si="68"/>
        <v>7.2705836827617873E-2</v>
      </c>
      <c r="AE125" s="381">
        <f t="shared" si="68"/>
        <v>7.2705836827617873E-2</v>
      </c>
      <c r="AF125" s="381">
        <f t="shared" si="68"/>
        <v>7.2705836827617873E-2</v>
      </c>
      <c r="AG125" s="381">
        <f t="shared" si="68"/>
        <v>7.2705836827617873E-2</v>
      </c>
      <c r="AH125" s="381">
        <f t="shared" si="68"/>
        <v>7.2705836827617873E-2</v>
      </c>
    </row>
    <row r="126" spans="1:34" ht="13.5" hidden="1" x14ac:dyDescent="0.2">
      <c r="C126" s="381">
        <f>C123/C$120</f>
        <v>0.15265128039709408</v>
      </c>
      <c r="D126" s="381">
        <f t="shared" ref="D126:AH126" si="69">D123/D$120</f>
        <v>0.15265128039709408</v>
      </c>
      <c r="E126" s="381">
        <f t="shared" si="69"/>
        <v>0.15265128039709408</v>
      </c>
      <c r="F126" s="381">
        <f t="shared" si="69"/>
        <v>0.15265128039709408</v>
      </c>
      <c r="G126" s="381">
        <f t="shared" si="69"/>
        <v>0.15265128039709408</v>
      </c>
      <c r="H126" s="381">
        <f t="shared" si="69"/>
        <v>0.15265128039709408</v>
      </c>
      <c r="I126" s="381">
        <f t="shared" si="69"/>
        <v>0.15265128039709408</v>
      </c>
      <c r="J126" s="381">
        <f t="shared" si="69"/>
        <v>0.15265128039709408</v>
      </c>
      <c r="K126" s="381">
        <f t="shared" si="69"/>
        <v>0.13715514515673183</v>
      </c>
      <c r="L126" s="381">
        <f t="shared" si="69"/>
        <v>0.13715514515673183</v>
      </c>
      <c r="M126" s="381">
        <f t="shared" si="69"/>
        <v>0.13715514515673183</v>
      </c>
      <c r="N126" s="381">
        <f t="shared" si="69"/>
        <v>0.13715514515673183</v>
      </c>
      <c r="O126" s="381">
        <f t="shared" si="69"/>
        <v>0.13715514515673183</v>
      </c>
      <c r="P126" s="381">
        <f t="shared" si="69"/>
        <v>0.13715514515673183</v>
      </c>
      <c r="Q126" s="381">
        <f t="shared" si="69"/>
        <v>0.13715514515673183</v>
      </c>
      <c r="R126" s="381">
        <f t="shared" si="69"/>
        <v>0.13715514515673183</v>
      </c>
      <c r="S126" s="381">
        <f t="shared" si="69"/>
        <v>0.13715514515673183</v>
      </c>
      <c r="T126" s="381">
        <f t="shared" si="69"/>
        <v>0.13715514515673183</v>
      </c>
      <c r="U126" s="381">
        <f t="shared" si="69"/>
        <v>0.13715514515673183</v>
      </c>
      <c r="V126" s="381">
        <f t="shared" si="69"/>
        <v>0.13715514515673183</v>
      </c>
      <c r="W126" s="381">
        <f t="shared" si="69"/>
        <v>0.13715514515673183</v>
      </c>
      <c r="X126" s="381">
        <f t="shared" si="69"/>
        <v>0.13715514515673183</v>
      </c>
      <c r="Y126" s="381">
        <f t="shared" si="69"/>
        <v>0.13715514515673183</v>
      </c>
      <c r="Z126" s="381">
        <f t="shared" si="69"/>
        <v>0.13715514515673183</v>
      </c>
      <c r="AA126" s="381">
        <f t="shared" si="69"/>
        <v>0.13715514515673183</v>
      </c>
      <c r="AB126" s="381">
        <f t="shared" si="69"/>
        <v>0.13715514515673183</v>
      </c>
      <c r="AC126" s="381">
        <f t="shared" si="69"/>
        <v>0.13715514515673183</v>
      </c>
      <c r="AD126" s="381">
        <f t="shared" si="69"/>
        <v>0.13715514515673183</v>
      </c>
      <c r="AE126" s="381">
        <f t="shared" si="69"/>
        <v>0.13715514515673183</v>
      </c>
      <c r="AF126" s="381">
        <f t="shared" si="69"/>
        <v>0.13715514515673183</v>
      </c>
      <c r="AG126" s="381">
        <f t="shared" si="69"/>
        <v>0.13715514515673183</v>
      </c>
      <c r="AH126" s="381">
        <f t="shared" si="69"/>
        <v>0.13715514515673183</v>
      </c>
    </row>
    <row r="127" spans="1:34" ht="15.75" x14ac:dyDescent="0.2">
      <c r="A127" s="233" t="s">
        <v>405</v>
      </c>
      <c r="N127" s="451"/>
    </row>
    <row r="128" spans="1:34" s="140" customFormat="1" ht="13.5" x14ac:dyDescent="0.25">
      <c r="A128" s="184" t="s">
        <v>80</v>
      </c>
      <c r="B128" s="18" t="s">
        <v>2</v>
      </c>
      <c r="C128" s="19">
        <f>C88</f>
        <v>2013</v>
      </c>
      <c r="D128" s="19">
        <f>C128+1</f>
        <v>2014</v>
      </c>
      <c r="E128" s="19">
        <f t="shared" ref="E128:AH128" si="70">D128+1</f>
        <v>2015</v>
      </c>
      <c r="F128" s="19">
        <f t="shared" si="70"/>
        <v>2016</v>
      </c>
      <c r="G128" s="19">
        <f t="shared" si="70"/>
        <v>2017</v>
      </c>
      <c r="H128" s="19">
        <f t="shared" si="70"/>
        <v>2018</v>
      </c>
      <c r="I128" s="19">
        <f t="shared" si="70"/>
        <v>2019</v>
      </c>
      <c r="J128" s="19">
        <f t="shared" si="70"/>
        <v>2020</v>
      </c>
      <c r="K128" s="19">
        <f t="shared" si="70"/>
        <v>2021</v>
      </c>
      <c r="L128" s="19">
        <f t="shared" si="70"/>
        <v>2022</v>
      </c>
      <c r="M128" s="19">
        <f t="shared" si="70"/>
        <v>2023</v>
      </c>
      <c r="N128" s="19">
        <f t="shared" si="70"/>
        <v>2024</v>
      </c>
      <c r="O128" s="19">
        <f t="shared" si="70"/>
        <v>2025</v>
      </c>
      <c r="P128" s="19">
        <f t="shared" si="70"/>
        <v>2026</v>
      </c>
      <c r="Q128" s="19">
        <f t="shared" si="70"/>
        <v>2027</v>
      </c>
      <c r="R128" s="19">
        <f t="shared" si="70"/>
        <v>2028</v>
      </c>
      <c r="S128" s="19">
        <f t="shared" si="70"/>
        <v>2029</v>
      </c>
      <c r="T128" s="19">
        <f t="shared" si="70"/>
        <v>2030</v>
      </c>
      <c r="U128" s="19">
        <f t="shared" si="70"/>
        <v>2031</v>
      </c>
      <c r="V128" s="19">
        <f t="shared" si="70"/>
        <v>2032</v>
      </c>
      <c r="W128" s="19">
        <f t="shared" si="70"/>
        <v>2033</v>
      </c>
      <c r="X128" s="19">
        <f t="shared" si="70"/>
        <v>2034</v>
      </c>
      <c r="Y128" s="19">
        <f t="shared" si="70"/>
        <v>2035</v>
      </c>
      <c r="Z128" s="19">
        <f t="shared" si="70"/>
        <v>2036</v>
      </c>
      <c r="AA128" s="19">
        <f t="shared" si="70"/>
        <v>2037</v>
      </c>
      <c r="AB128" s="19">
        <f t="shared" si="70"/>
        <v>2038</v>
      </c>
      <c r="AC128" s="19">
        <f t="shared" si="70"/>
        <v>2039</v>
      </c>
      <c r="AD128" s="19">
        <f t="shared" si="70"/>
        <v>2040</v>
      </c>
      <c r="AE128" s="19">
        <f t="shared" si="70"/>
        <v>2041</v>
      </c>
      <c r="AF128" s="19">
        <f t="shared" si="70"/>
        <v>2042</v>
      </c>
      <c r="AG128" s="19">
        <f t="shared" si="70"/>
        <v>2043</v>
      </c>
      <c r="AH128" s="19">
        <f t="shared" si="70"/>
        <v>2044</v>
      </c>
    </row>
    <row r="129" spans="1:34" s="174" customFormat="1" ht="27" x14ac:dyDescent="0.25">
      <c r="A129" s="16" t="s">
        <v>327</v>
      </c>
      <c r="B129" s="7" t="s">
        <v>9</v>
      </c>
      <c r="C129" s="130">
        <f>'Założenia-dane wejściowe '!D62-'Założenia-dane wejściowe '!D22</f>
        <v>0</v>
      </c>
      <c r="D129" s="130">
        <f>'Założenia-dane wejściowe '!E62-'Założenia-dane wejściowe '!E22</f>
        <v>0</v>
      </c>
      <c r="E129" s="130">
        <f>'Założenia-dane wejściowe '!F62-'Założenia-dane wejściowe '!F22</f>
        <v>0</v>
      </c>
      <c r="F129" s="130">
        <f>'Założenia-dane wejściowe '!G62-'Założenia-dane wejściowe '!G22</f>
        <v>0</v>
      </c>
      <c r="G129" s="130">
        <f>'Założenia-dane wejściowe '!H62-'Założenia-dane wejściowe '!H22</f>
        <v>0</v>
      </c>
      <c r="H129" s="130">
        <f>'Założenia-dane wejściowe '!I62-'Założenia-dane wejściowe '!I22</f>
        <v>0</v>
      </c>
      <c r="I129" s="130">
        <f>'Założenia-dane wejściowe '!J62-'Założenia-dane wejściowe '!J22</f>
        <v>0</v>
      </c>
      <c r="J129" s="130">
        <f>'Założenia-dane wejściowe '!K62-'Założenia-dane wejściowe '!K22</f>
        <v>0</v>
      </c>
      <c r="K129" s="130">
        <f>'Założenia-dane wejściowe '!L62-'Założenia-dane wejściowe '!L22</f>
        <v>6600</v>
      </c>
      <c r="L129" s="130">
        <f>'Założenia-dane wejściowe '!M62-'Założenia-dane wejściowe '!M22</f>
        <v>6600</v>
      </c>
      <c r="M129" s="130">
        <f>'Założenia-dane wejściowe '!N62-'Założenia-dane wejściowe '!N22</f>
        <v>6600</v>
      </c>
      <c r="N129" s="130">
        <f>'Założenia-dane wejściowe '!O62-'Założenia-dane wejściowe '!O22</f>
        <v>6600</v>
      </c>
      <c r="O129" s="130">
        <f>'Założenia-dane wejściowe '!P62-'Założenia-dane wejściowe '!P22</f>
        <v>6600</v>
      </c>
      <c r="P129" s="130">
        <f>'Założenia-dane wejściowe '!Q62-'Założenia-dane wejściowe '!Q22</f>
        <v>6600</v>
      </c>
      <c r="Q129" s="130">
        <f>'Założenia-dane wejściowe '!R62-'Założenia-dane wejściowe '!R22</f>
        <v>6600</v>
      </c>
      <c r="R129" s="130">
        <f>'Założenia-dane wejściowe '!S62-'Założenia-dane wejściowe '!S22</f>
        <v>6600</v>
      </c>
      <c r="S129" s="130">
        <f>'Założenia-dane wejściowe '!T62-'Założenia-dane wejściowe '!T22</f>
        <v>6600</v>
      </c>
      <c r="T129" s="130">
        <f>'Założenia-dane wejściowe '!U62-'Założenia-dane wejściowe '!U22</f>
        <v>6600</v>
      </c>
      <c r="U129" s="130">
        <f>'Założenia-dane wejściowe '!V62-'Założenia-dane wejściowe '!V22</f>
        <v>6600</v>
      </c>
      <c r="V129" s="130">
        <f>'Założenia-dane wejściowe '!W62-'Założenia-dane wejściowe '!W22</f>
        <v>6600</v>
      </c>
      <c r="W129" s="130">
        <f>'Założenia-dane wejściowe '!X62-'Założenia-dane wejściowe '!X22</f>
        <v>6600</v>
      </c>
      <c r="X129" s="130">
        <f>'Założenia-dane wejściowe '!Y62-'Założenia-dane wejściowe '!Y22</f>
        <v>6600</v>
      </c>
      <c r="Y129" s="130">
        <f>'Założenia-dane wejściowe '!Z62-'Założenia-dane wejściowe '!Z22</f>
        <v>6600</v>
      </c>
      <c r="Z129" s="130">
        <f>'Założenia-dane wejściowe '!AA62-'Założenia-dane wejściowe '!AA22</f>
        <v>6600</v>
      </c>
      <c r="AA129" s="130">
        <f>'Założenia-dane wejściowe '!AB62-'Założenia-dane wejściowe '!AB22</f>
        <v>6600</v>
      </c>
      <c r="AB129" s="130">
        <f>'Założenia-dane wejściowe '!AC62-'Założenia-dane wejściowe '!AC22</f>
        <v>6600</v>
      </c>
      <c r="AC129" s="130">
        <f>'Założenia-dane wejściowe '!AD62-'Założenia-dane wejściowe '!AD22</f>
        <v>6600</v>
      </c>
      <c r="AD129" s="130">
        <f>'Założenia-dane wejściowe '!AE62-'Założenia-dane wejściowe '!AE22</f>
        <v>6600</v>
      </c>
      <c r="AE129" s="130">
        <f>'Założenia-dane wejściowe '!AF62-'Założenia-dane wejściowe '!AF22</f>
        <v>6600</v>
      </c>
      <c r="AF129" s="130">
        <f>'Założenia-dane wejściowe '!AG62-'Założenia-dane wejściowe '!AG22</f>
        <v>6600</v>
      </c>
      <c r="AG129" s="130">
        <f>'Założenia-dane wejściowe '!AH62-'Założenia-dane wejściowe '!AH22</f>
        <v>6600</v>
      </c>
      <c r="AH129" s="130">
        <f>'Założenia-dane wejściowe '!AI62-'Założenia-dane wejściowe '!AI22</f>
        <v>6600</v>
      </c>
    </row>
    <row r="130" spans="1:34" s="174" customFormat="1" ht="27" x14ac:dyDescent="0.25">
      <c r="A130" s="16" t="s">
        <v>272</v>
      </c>
      <c r="B130" s="7" t="s">
        <v>21</v>
      </c>
      <c r="C130" s="449">
        <f>'Założenia-dane wejściowe '!D23</f>
        <v>0.09</v>
      </c>
      <c r="D130" s="449">
        <f>'Założenia-dane wejściowe '!E23</f>
        <v>0.09</v>
      </c>
      <c r="E130" s="449">
        <f>'Założenia-dane wejściowe '!F23</f>
        <v>0.09</v>
      </c>
      <c r="F130" s="449">
        <f>'Założenia-dane wejściowe '!G23</f>
        <v>0.09</v>
      </c>
      <c r="G130" s="449">
        <f>'Założenia-dane wejściowe '!H23</f>
        <v>0.09</v>
      </c>
      <c r="H130" s="449">
        <f>'Założenia-dane wejściowe '!I23</f>
        <v>0.09</v>
      </c>
      <c r="I130" s="449">
        <f>'Założenia-dane wejściowe '!J23</f>
        <v>0.09</v>
      </c>
      <c r="J130" s="449">
        <f>'Założenia-dane wejściowe '!K23</f>
        <v>0.09</v>
      </c>
      <c r="K130" s="449">
        <f>'Założenia-dane wejściowe '!L23</f>
        <v>0.09</v>
      </c>
      <c r="L130" s="449">
        <f>'Założenia-dane wejściowe '!M23</f>
        <v>0.09</v>
      </c>
      <c r="M130" s="449">
        <f>'Założenia-dane wejściowe '!N23</f>
        <v>0.09</v>
      </c>
      <c r="N130" s="449">
        <f>'Założenia-dane wejściowe '!O23</f>
        <v>0.09</v>
      </c>
      <c r="O130" s="449">
        <f>'Założenia-dane wejściowe '!P23</f>
        <v>0.09</v>
      </c>
      <c r="P130" s="449">
        <f>'Założenia-dane wejściowe '!Q23</f>
        <v>0.09</v>
      </c>
      <c r="Q130" s="449">
        <f>'Założenia-dane wejściowe '!R23</f>
        <v>0.09</v>
      </c>
      <c r="R130" s="449">
        <f>'Założenia-dane wejściowe '!S23</f>
        <v>0.09</v>
      </c>
      <c r="S130" s="449">
        <f>'Założenia-dane wejściowe '!T23</f>
        <v>0.09</v>
      </c>
      <c r="T130" s="449">
        <f>'Założenia-dane wejściowe '!U23</f>
        <v>0.09</v>
      </c>
      <c r="U130" s="449">
        <f>'Założenia-dane wejściowe '!V23</f>
        <v>0.09</v>
      </c>
      <c r="V130" s="449">
        <f>'Założenia-dane wejściowe '!W23</f>
        <v>0.09</v>
      </c>
      <c r="W130" s="449">
        <f>'Założenia-dane wejściowe '!X23</f>
        <v>0.09</v>
      </c>
      <c r="X130" s="449">
        <f>'Założenia-dane wejściowe '!Y23</f>
        <v>0.09</v>
      </c>
      <c r="Y130" s="449">
        <f>'Założenia-dane wejściowe '!Z23</f>
        <v>0.09</v>
      </c>
      <c r="Z130" s="449">
        <f>'Założenia-dane wejściowe '!AA23</f>
        <v>0.09</v>
      </c>
      <c r="AA130" s="449">
        <f>'Założenia-dane wejściowe '!AB23</f>
        <v>0.09</v>
      </c>
      <c r="AB130" s="449">
        <f>'Założenia-dane wejściowe '!AC23</f>
        <v>0.09</v>
      </c>
      <c r="AC130" s="449">
        <f>'Założenia-dane wejściowe '!AD23</f>
        <v>0.09</v>
      </c>
      <c r="AD130" s="449">
        <f>'Założenia-dane wejściowe '!AE23</f>
        <v>0.09</v>
      </c>
      <c r="AE130" s="449">
        <f>'Założenia-dane wejściowe '!AF23</f>
        <v>0.09</v>
      </c>
      <c r="AF130" s="449">
        <f>'Założenia-dane wejściowe '!AG23</f>
        <v>0.09</v>
      </c>
      <c r="AG130" s="449">
        <f>'Założenia-dane wejściowe '!AH23</f>
        <v>0.09</v>
      </c>
      <c r="AH130" s="449">
        <f>'Założenia-dane wejściowe '!AI23</f>
        <v>0.09</v>
      </c>
    </row>
    <row r="131" spans="1:34" s="174" customFormat="1" ht="13.5" x14ac:dyDescent="0.25">
      <c r="A131" s="59" t="s">
        <v>264</v>
      </c>
      <c r="B131" s="7" t="s">
        <v>10</v>
      </c>
      <c r="C131" s="208">
        <f>C91</f>
        <v>5.47</v>
      </c>
      <c r="D131" s="208">
        <f t="shared" ref="D131:AG131" si="71">D91</f>
        <v>5.47</v>
      </c>
      <c r="E131" s="208">
        <f t="shared" si="71"/>
        <v>5.47</v>
      </c>
      <c r="F131" s="208">
        <f t="shared" si="71"/>
        <v>5.47</v>
      </c>
      <c r="G131" s="208">
        <f t="shared" si="71"/>
        <v>5.47</v>
      </c>
      <c r="H131" s="208">
        <f t="shared" si="71"/>
        <v>5.47</v>
      </c>
      <c r="I131" s="208">
        <f t="shared" si="71"/>
        <v>5.47</v>
      </c>
      <c r="J131" s="208">
        <f t="shared" si="71"/>
        <v>5.47</v>
      </c>
      <c r="K131" s="208">
        <f t="shared" si="71"/>
        <v>5.47</v>
      </c>
      <c r="L131" s="208">
        <f t="shared" si="71"/>
        <v>5.47</v>
      </c>
      <c r="M131" s="208">
        <f t="shared" si="71"/>
        <v>5.47</v>
      </c>
      <c r="N131" s="208">
        <f t="shared" si="71"/>
        <v>5.47</v>
      </c>
      <c r="O131" s="208">
        <f t="shared" si="71"/>
        <v>5.47</v>
      </c>
      <c r="P131" s="208">
        <f t="shared" si="71"/>
        <v>5.47</v>
      </c>
      <c r="Q131" s="208">
        <f t="shared" si="71"/>
        <v>5.47</v>
      </c>
      <c r="R131" s="208">
        <f t="shared" si="71"/>
        <v>5.47</v>
      </c>
      <c r="S131" s="208">
        <f t="shared" si="71"/>
        <v>5.47</v>
      </c>
      <c r="T131" s="208">
        <f t="shared" si="71"/>
        <v>5.47</v>
      </c>
      <c r="U131" s="208">
        <f t="shared" si="71"/>
        <v>5.47</v>
      </c>
      <c r="V131" s="208">
        <f t="shared" si="71"/>
        <v>5.47</v>
      </c>
      <c r="W131" s="208">
        <f t="shared" si="71"/>
        <v>5.47</v>
      </c>
      <c r="X131" s="208">
        <f t="shared" si="71"/>
        <v>5.47</v>
      </c>
      <c r="Y131" s="208">
        <f t="shared" si="71"/>
        <v>5.47</v>
      </c>
      <c r="Z131" s="208">
        <f t="shared" si="71"/>
        <v>5.47</v>
      </c>
      <c r="AA131" s="208">
        <f t="shared" si="71"/>
        <v>5.47</v>
      </c>
      <c r="AB131" s="208">
        <f t="shared" si="71"/>
        <v>5.47</v>
      </c>
      <c r="AC131" s="208">
        <f t="shared" si="71"/>
        <v>5.47</v>
      </c>
      <c r="AD131" s="208">
        <f t="shared" si="71"/>
        <v>5.47</v>
      </c>
      <c r="AE131" s="208">
        <f t="shared" si="71"/>
        <v>5.47</v>
      </c>
      <c r="AF131" s="208">
        <f t="shared" si="71"/>
        <v>5.47</v>
      </c>
      <c r="AG131" s="208">
        <f t="shared" si="71"/>
        <v>5.47</v>
      </c>
      <c r="AH131" s="208">
        <f>AH91</f>
        <v>5.47</v>
      </c>
    </row>
    <row r="132" spans="1:34" s="174" customFormat="1" ht="27" x14ac:dyDescent="0.25">
      <c r="A132" s="16" t="s">
        <v>275</v>
      </c>
      <c r="B132" s="7" t="s">
        <v>12</v>
      </c>
      <c r="C132" s="130">
        <f>'Założenia-dane wejściowe '!D65-'Założenia-dane wejściowe '!D25</f>
        <v>0</v>
      </c>
      <c r="D132" s="130">
        <f>'Założenia-dane wejściowe '!E65-'Założenia-dane wejściowe '!E25</f>
        <v>0</v>
      </c>
      <c r="E132" s="130">
        <f>'Założenia-dane wejściowe '!F65-'Założenia-dane wejściowe '!F25</f>
        <v>0</v>
      </c>
      <c r="F132" s="130">
        <f>'Założenia-dane wejściowe '!G65-'Założenia-dane wejściowe '!G25</f>
        <v>0</v>
      </c>
      <c r="G132" s="130">
        <f>'Założenia-dane wejściowe '!H65-'Założenia-dane wejściowe '!H25</f>
        <v>0</v>
      </c>
      <c r="H132" s="130">
        <f>'Założenia-dane wejściowe '!I65-'Założenia-dane wejściowe '!I25</f>
        <v>0</v>
      </c>
      <c r="I132" s="130">
        <f>'Założenia-dane wejściowe '!J65-'Założenia-dane wejściowe '!J25</f>
        <v>0</v>
      </c>
      <c r="J132" s="130">
        <f>'Założenia-dane wejściowe '!K65-'Założenia-dane wejściowe '!K25</f>
        <v>0</v>
      </c>
      <c r="K132" s="130">
        <f>'Założenia-dane wejściowe '!L65-'Założenia-dane wejściowe '!L25</f>
        <v>10</v>
      </c>
      <c r="L132" s="130">
        <f>'Założenia-dane wejściowe '!M65-'Założenia-dane wejściowe '!M25</f>
        <v>10</v>
      </c>
      <c r="M132" s="130">
        <f>'Założenia-dane wejściowe '!N65-'Założenia-dane wejściowe '!N25</f>
        <v>10</v>
      </c>
      <c r="N132" s="130">
        <f>'Założenia-dane wejściowe '!O65-'Założenia-dane wejściowe '!O25</f>
        <v>10</v>
      </c>
      <c r="O132" s="130">
        <f>'Założenia-dane wejściowe '!P65-'Założenia-dane wejściowe '!P25</f>
        <v>10</v>
      </c>
      <c r="P132" s="130">
        <f>'Założenia-dane wejściowe '!Q65-'Założenia-dane wejściowe '!Q25</f>
        <v>10</v>
      </c>
      <c r="Q132" s="130">
        <f>'Założenia-dane wejściowe '!R65-'Założenia-dane wejściowe '!R25</f>
        <v>10</v>
      </c>
      <c r="R132" s="130">
        <f>'Założenia-dane wejściowe '!S65-'Założenia-dane wejściowe '!S25</f>
        <v>10</v>
      </c>
      <c r="S132" s="130">
        <f>'Założenia-dane wejściowe '!T65-'Założenia-dane wejściowe '!T25</f>
        <v>10</v>
      </c>
      <c r="T132" s="130">
        <f>'Założenia-dane wejściowe '!U65-'Założenia-dane wejściowe '!U25</f>
        <v>10</v>
      </c>
      <c r="U132" s="130">
        <f>'Założenia-dane wejściowe '!V65-'Założenia-dane wejściowe '!V25</f>
        <v>10</v>
      </c>
      <c r="V132" s="130">
        <f>'Założenia-dane wejściowe '!W65-'Założenia-dane wejściowe '!W25</f>
        <v>10</v>
      </c>
      <c r="W132" s="130">
        <f>'Założenia-dane wejściowe '!X65-'Założenia-dane wejściowe '!X25</f>
        <v>10</v>
      </c>
      <c r="X132" s="130">
        <f>'Założenia-dane wejściowe '!Y65-'Założenia-dane wejściowe '!Y25</f>
        <v>10</v>
      </c>
      <c r="Y132" s="130">
        <f>'Założenia-dane wejściowe '!Z65-'Założenia-dane wejściowe '!Z25</f>
        <v>10</v>
      </c>
      <c r="Z132" s="130">
        <f>'Założenia-dane wejściowe '!AA65-'Założenia-dane wejściowe '!AA25</f>
        <v>10</v>
      </c>
      <c r="AA132" s="130">
        <f>'Założenia-dane wejściowe '!AB65-'Założenia-dane wejściowe '!AB25</f>
        <v>10</v>
      </c>
      <c r="AB132" s="130">
        <f>'Założenia-dane wejściowe '!AC65-'Założenia-dane wejściowe '!AC25</f>
        <v>10</v>
      </c>
      <c r="AC132" s="130">
        <f>'Założenia-dane wejściowe '!AD65-'Założenia-dane wejściowe '!AD25</f>
        <v>10</v>
      </c>
      <c r="AD132" s="130">
        <f>'Założenia-dane wejściowe '!AE65-'Założenia-dane wejściowe '!AE25</f>
        <v>10</v>
      </c>
      <c r="AE132" s="130">
        <f>'Założenia-dane wejściowe '!AF65-'Założenia-dane wejściowe '!AF25</f>
        <v>10</v>
      </c>
      <c r="AF132" s="130">
        <f>'Założenia-dane wejściowe '!AG65-'Założenia-dane wejściowe '!AG25</f>
        <v>10</v>
      </c>
      <c r="AG132" s="130">
        <f>'Założenia-dane wejściowe '!AH65-'Założenia-dane wejściowe '!AH25</f>
        <v>10</v>
      </c>
      <c r="AH132" s="130">
        <f>'Założenia-dane wejściowe '!AI65-'Założenia-dane wejściowe '!AI25</f>
        <v>10</v>
      </c>
    </row>
    <row r="133" spans="1:34" s="174" customFormat="1" ht="27" x14ac:dyDescent="0.25">
      <c r="A133" s="16" t="s">
        <v>271</v>
      </c>
      <c r="B133" s="7" t="s">
        <v>13</v>
      </c>
      <c r="C133" s="449">
        <f>C93</f>
        <v>1.04</v>
      </c>
      <c r="D133" s="449">
        <f>D93</f>
        <v>1.04</v>
      </c>
      <c r="E133" s="449">
        <f t="shared" ref="E133:AG133" si="72">E93</f>
        <v>1.04</v>
      </c>
      <c r="F133" s="449">
        <f t="shared" si="72"/>
        <v>1.04</v>
      </c>
      <c r="G133" s="449">
        <f t="shared" si="72"/>
        <v>1.04</v>
      </c>
      <c r="H133" s="449">
        <f t="shared" si="72"/>
        <v>1.04</v>
      </c>
      <c r="I133" s="449">
        <f t="shared" si="72"/>
        <v>1.04</v>
      </c>
      <c r="J133" s="449">
        <f t="shared" si="72"/>
        <v>1.04</v>
      </c>
      <c r="K133" s="449">
        <f t="shared" si="72"/>
        <v>1.04</v>
      </c>
      <c r="L133" s="449">
        <f t="shared" si="72"/>
        <v>1.04</v>
      </c>
      <c r="M133" s="449">
        <f t="shared" si="72"/>
        <v>1.04</v>
      </c>
      <c r="N133" s="449">
        <f t="shared" si="72"/>
        <v>1.04</v>
      </c>
      <c r="O133" s="449">
        <f t="shared" si="72"/>
        <v>1.04</v>
      </c>
      <c r="P133" s="449">
        <f t="shared" si="72"/>
        <v>1.04</v>
      </c>
      <c r="Q133" s="449">
        <f t="shared" si="72"/>
        <v>1.04</v>
      </c>
      <c r="R133" s="449">
        <f t="shared" si="72"/>
        <v>1.04</v>
      </c>
      <c r="S133" s="449">
        <f t="shared" si="72"/>
        <v>1.04</v>
      </c>
      <c r="T133" s="449">
        <f t="shared" si="72"/>
        <v>1.04</v>
      </c>
      <c r="U133" s="449">
        <f t="shared" si="72"/>
        <v>1.04</v>
      </c>
      <c r="V133" s="449">
        <f t="shared" si="72"/>
        <v>1.04</v>
      </c>
      <c r="W133" s="449">
        <f t="shared" si="72"/>
        <v>1.04</v>
      </c>
      <c r="X133" s="449">
        <f t="shared" si="72"/>
        <v>1.04</v>
      </c>
      <c r="Y133" s="449">
        <f t="shared" si="72"/>
        <v>1.04</v>
      </c>
      <c r="Z133" s="449">
        <f t="shared" si="72"/>
        <v>1.04</v>
      </c>
      <c r="AA133" s="449">
        <f t="shared" si="72"/>
        <v>1.04</v>
      </c>
      <c r="AB133" s="449">
        <f t="shared" si="72"/>
        <v>1.04</v>
      </c>
      <c r="AC133" s="449">
        <f t="shared" si="72"/>
        <v>1.04</v>
      </c>
      <c r="AD133" s="449">
        <f t="shared" si="72"/>
        <v>1.04</v>
      </c>
      <c r="AE133" s="449">
        <f t="shared" si="72"/>
        <v>1.04</v>
      </c>
      <c r="AF133" s="449">
        <f t="shared" si="72"/>
        <v>1.04</v>
      </c>
      <c r="AG133" s="449">
        <f t="shared" si="72"/>
        <v>1.04</v>
      </c>
      <c r="AH133" s="449">
        <f>AH93</f>
        <v>1.04</v>
      </c>
    </row>
    <row r="134" spans="1:34" s="174" customFormat="1" ht="40.5" x14ac:dyDescent="0.25">
      <c r="A134" s="16" t="s">
        <v>276</v>
      </c>
      <c r="B134" s="7" t="s">
        <v>12</v>
      </c>
      <c r="C134" s="130">
        <f>'Założenia-dane wejściowe '!D67-'Założenia-dane wejściowe '!D27</f>
        <v>0</v>
      </c>
      <c r="D134" s="130">
        <f>'Założenia-dane wejściowe '!E67-'Założenia-dane wejściowe '!E27</f>
        <v>0</v>
      </c>
      <c r="E134" s="130">
        <f>'Założenia-dane wejściowe '!F67-'Założenia-dane wejściowe '!F27</f>
        <v>0</v>
      </c>
      <c r="F134" s="130">
        <f>'Założenia-dane wejściowe '!G67-'Założenia-dane wejściowe '!G27</f>
        <v>0</v>
      </c>
      <c r="G134" s="130">
        <f>'Założenia-dane wejściowe '!H67-'Założenia-dane wejściowe '!H27</f>
        <v>0</v>
      </c>
      <c r="H134" s="130">
        <f>'Założenia-dane wejściowe '!I67-'Założenia-dane wejściowe '!I27</f>
        <v>0</v>
      </c>
      <c r="I134" s="130">
        <f>'Założenia-dane wejściowe '!J67-'Założenia-dane wejściowe '!J27</f>
        <v>0</v>
      </c>
      <c r="J134" s="130">
        <f>'Założenia-dane wejściowe '!K67-'Założenia-dane wejściowe '!K27</f>
        <v>0</v>
      </c>
      <c r="K134" s="130">
        <f>'Założenia-dane wejściowe '!L67-'Założenia-dane wejściowe '!L27</f>
        <v>400</v>
      </c>
      <c r="L134" s="130">
        <f>'Założenia-dane wejściowe '!M67-'Założenia-dane wejściowe '!M27</f>
        <v>400</v>
      </c>
      <c r="M134" s="130">
        <f>'Założenia-dane wejściowe '!N67-'Założenia-dane wejściowe '!N27</f>
        <v>400</v>
      </c>
      <c r="N134" s="130">
        <f>'Założenia-dane wejściowe '!O67-'Założenia-dane wejściowe '!O27</f>
        <v>400</v>
      </c>
      <c r="O134" s="130">
        <f>'Założenia-dane wejściowe '!P67-'Założenia-dane wejściowe '!P27</f>
        <v>400</v>
      </c>
      <c r="P134" s="130">
        <f>'Założenia-dane wejściowe '!Q67-'Założenia-dane wejściowe '!Q27</f>
        <v>400</v>
      </c>
      <c r="Q134" s="130">
        <f>'Założenia-dane wejściowe '!R67-'Założenia-dane wejściowe '!R27</f>
        <v>400</v>
      </c>
      <c r="R134" s="130">
        <f>'Założenia-dane wejściowe '!S67-'Założenia-dane wejściowe '!S27</f>
        <v>400</v>
      </c>
      <c r="S134" s="130">
        <f>'Założenia-dane wejściowe '!T67-'Założenia-dane wejściowe '!T27</f>
        <v>400</v>
      </c>
      <c r="T134" s="130">
        <f>'Założenia-dane wejściowe '!U67-'Założenia-dane wejściowe '!U27</f>
        <v>400</v>
      </c>
      <c r="U134" s="130">
        <f>'Założenia-dane wejściowe '!V67-'Założenia-dane wejściowe '!V27</f>
        <v>400</v>
      </c>
      <c r="V134" s="130">
        <f>'Założenia-dane wejściowe '!W67-'Założenia-dane wejściowe '!W27</f>
        <v>400</v>
      </c>
      <c r="W134" s="130">
        <f>'Założenia-dane wejściowe '!X67-'Założenia-dane wejściowe '!X27</f>
        <v>400</v>
      </c>
      <c r="X134" s="130">
        <f>'Założenia-dane wejściowe '!Y67-'Założenia-dane wejściowe '!Y27</f>
        <v>400</v>
      </c>
      <c r="Y134" s="130">
        <f>'Założenia-dane wejściowe '!Z67-'Założenia-dane wejściowe '!Z27</f>
        <v>400</v>
      </c>
      <c r="Z134" s="130">
        <f>'Założenia-dane wejściowe '!AA67-'Założenia-dane wejściowe '!AA27</f>
        <v>400</v>
      </c>
      <c r="AA134" s="130">
        <f>'Założenia-dane wejściowe '!AB67-'Założenia-dane wejściowe '!AB27</f>
        <v>400</v>
      </c>
      <c r="AB134" s="130">
        <f>'Założenia-dane wejściowe '!AC67-'Założenia-dane wejściowe '!AC27</f>
        <v>400</v>
      </c>
      <c r="AC134" s="130">
        <f>'Założenia-dane wejściowe '!AD67-'Założenia-dane wejściowe '!AD27</f>
        <v>400</v>
      </c>
      <c r="AD134" s="130">
        <f>'Założenia-dane wejściowe '!AE67-'Założenia-dane wejściowe '!AE27</f>
        <v>400</v>
      </c>
      <c r="AE134" s="130">
        <f>'Założenia-dane wejściowe '!AF67-'Założenia-dane wejściowe '!AF27</f>
        <v>400</v>
      </c>
      <c r="AF134" s="130">
        <f>'Założenia-dane wejściowe '!AG67-'Założenia-dane wejściowe '!AG27</f>
        <v>400</v>
      </c>
      <c r="AG134" s="130">
        <f>'Założenia-dane wejściowe '!AH67-'Założenia-dane wejściowe '!AH27</f>
        <v>400</v>
      </c>
      <c r="AH134" s="130">
        <f>'Założenia-dane wejściowe '!AI67-'Założenia-dane wejściowe '!AI27</f>
        <v>400</v>
      </c>
    </row>
    <row r="135" spans="1:34" s="174" customFormat="1" ht="27" x14ac:dyDescent="0.25">
      <c r="A135" s="16" t="s">
        <v>273</v>
      </c>
      <c r="B135" s="200" t="s">
        <v>13</v>
      </c>
      <c r="C135" s="449">
        <f>'Założenia-dane wejściowe '!D28</f>
        <v>0.17</v>
      </c>
      <c r="D135" s="449">
        <f>'Założenia-dane wejściowe '!E28</f>
        <v>0.17</v>
      </c>
      <c r="E135" s="449">
        <f>'Założenia-dane wejściowe '!F28</f>
        <v>0.17</v>
      </c>
      <c r="F135" s="449">
        <f>'Założenia-dane wejściowe '!G28</f>
        <v>0.17</v>
      </c>
      <c r="G135" s="449">
        <f>'Założenia-dane wejściowe '!H28</f>
        <v>0.17</v>
      </c>
      <c r="H135" s="449">
        <f>'Założenia-dane wejściowe '!I28</f>
        <v>0.17</v>
      </c>
      <c r="I135" s="449">
        <f>'Założenia-dane wejściowe '!J28</f>
        <v>0.17</v>
      </c>
      <c r="J135" s="449">
        <f>'Założenia-dane wejściowe '!K28</f>
        <v>0.17</v>
      </c>
      <c r="K135" s="449">
        <f>'Założenia-dane wejściowe '!L28</f>
        <v>0.17</v>
      </c>
      <c r="L135" s="449">
        <f>'Założenia-dane wejściowe '!M28</f>
        <v>0.17</v>
      </c>
      <c r="M135" s="449">
        <f>'Założenia-dane wejściowe '!N28</f>
        <v>0.17</v>
      </c>
      <c r="N135" s="449">
        <f>'Założenia-dane wejściowe '!O28</f>
        <v>0.17</v>
      </c>
      <c r="O135" s="449">
        <f>'Założenia-dane wejściowe '!P28</f>
        <v>0.17</v>
      </c>
      <c r="P135" s="449">
        <f>'Założenia-dane wejściowe '!Q28</f>
        <v>0.17</v>
      </c>
      <c r="Q135" s="449">
        <f>'Założenia-dane wejściowe '!R28</f>
        <v>0.17</v>
      </c>
      <c r="R135" s="449">
        <f>'Założenia-dane wejściowe '!S28</f>
        <v>0.17</v>
      </c>
      <c r="S135" s="449">
        <f>'Założenia-dane wejściowe '!T28</f>
        <v>0.17</v>
      </c>
      <c r="T135" s="449">
        <f>'Założenia-dane wejściowe '!U28</f>
        <v>0.17</v>
      </c>
      <c r="U135" s="449">
        <f>'Założenia-dane wejściowe '!V28</f>
        <v>0.17</v>
      </c>
      <c r="V135" s="449">
        <f>'Założenia-dane wejściowe '!W28</f>
        <v>0.17</v>
      </c>
      <c r="W135" s="449">
        <f>'Założenia-dane wejściowe '!X28</f>
        <v>0.17</v>
      </c>
      <c r="X135" s="449">
        <f>'Założenia-dane wejściowe '!Y28</f>
        <v>0.17</v>
      </c>
      <c r="Y135" s="449">
        <f>'Założenia-dane wejściowe '!Z28</f>
        <v>0.17</v>
      </c>
      <c r="Z135" s="449">
        <f>'Założenia-dane wejściowe '!AA28</f>
        <v>0.17</v>
      </c>
      <c r="AA135" s="449">
        <f>'Założenia-dane wejściowe '!AB28</f>
        <v>0.17</v>
      </c>
      <c r="AB135" s="449">
        <f>'Założenia-dane wejściowe '!AC28</f>
        <v>0.17</v>
      </c>
      <c r="AC135" s="449">
        <f>'Założenia-dane wejściowe '!AD28</f>
        <v>0.17</v>
      </c>
      <c r="AD135" s="449">
        <f>'Założenia-dane wejściowe '!AE28</f>
        <v>0.17</v>
      </c>
      <c r="AE135" s="449">
        <f>'Założenia-dane wejściowe '!AF28</f>
        <v>0.17</v>
      </c>
      <c r="AF135" s="449">
        <f>'Założenia-dane wejściowe '!AG28</f>
        <v>0.17</v>
      </c>
      <c r="AG135" s="449">
        <f>'Założenia-dane wejściowe '!AH28</f>
        <v>0.17</v>
      </c>
      <c r="AH135" s="449">
        <f>'Założenia-dane wejściowe '!AI28</f>
        <v>0.17</v>
      </c>
    </row>
    <row r="136" spans="1:34" s="174" customFormat="1" ht="13.5" x14ac:dyDescent="0.25">
      <c r="A136" s="209" t="str">
        <f>A96</f>
        <v>zużycie wody [m3/d]</v>
      </c>
      <c r="B136" s="202" t="s">
        <v>13</v>
      </c>
      <c r="C136" s="131">
        <f>SUM(C137:C139)</f>
        <v>0</v>
      </c>
      <c r="D136" s="131">
        <f t="shared" ref="D136:AG136" si="73">SUM(D137:D139)</f>
        <v>0</v>
      </c>
      <c r="E136" s="131">
        <f t="shared" si="73"/>
        <v>0</v>
      </c>
      <c r="F136" s="131">
        <f t="shared" si="73"/>
        <v>0</v>
      </c>
      <c r="G136" s="131">
        <f t="shared" si="73"/>
        <v>0</v>
      </c>
      <c r="H136" s="131">
        <f t="shared" si="73"/>
        <v>0</v>
      </c>
      <c r="I136" s="131">
        <f t="shared" si="73"/>
        <v>0</v>
      </c>
      <c r="J136" s="131">
        <f t="shared" si="73"/>
        <v>0</v>
      </c>
      <c r="K136" s="131">
        <f t="shared" si="73"/>
        <v>3327.58</v>
      </c>
      <c r="L136" s="131">
        <f t="shared" si="73"/>
        <v>3327.58</v>
      </c>
      <c r="M136" s="131">
        <f t="shared" si="73"/>
        <v>3327.58</v>
      </c>
      <c r="N136" s="131">
        <f t="shared" si="73"/>
        <v>3327.58</v>
      </c>
      <c r="O136" s="131">
        <f t="shared" si="73"/>
        <v>3327.58</v>
      </c>
      <c r="P136" s="131">
        <f t="shared" si="73"/>
        <v>3327.58</v>
      </c>
      <c r="Q136" s="131">
        <f t="shared" si="73"/>
        <v>3327.58</v>
      </c>
      <c r="R136" s="131">
        <f t="shared" si="73"/>
        <v>3327.58</v>
      </c>
      <c r="S136" s="131">
        <f t="shared" si="73"/>
        <v>3327.58</v>
      </c>
      <c r="T136" s="131">
        <f t="shared" si="73"/>
        <v>3327.58</v>
      </c>
      <c r="U136" s="131">
        <f t="shared" si="73"/>
        <v>3327.58</v>
      </c>
      <c r="V136" s="131">
        <f t="shared" si="73"/>
        <v>3327.58</v>
      </c>
      <c r="W136" s="131">
        <f t="shared" si="73"/>
        <v>3327.58</v>
      </c>
      <c r="X136" s="131">
        <f t="shared" si="73"/>
        <v>3327.58</v>
      </c>
      <c r="Y136" s="131">
        <f t="shared" si="73"/>
        <v>3327.58</v>
      </c>
      <c r="Z136" s="131">
        <f t="shared" si="73"/>
        <v>3327.58</v>
      </c>
      <c r="AA136" s="131">
        <f t="shared" si="73"/>
        <v>3327.58</v>
      </c>
      <c r="AB136" s="131">
        <f t="shared" si="73"/>
        <v>3327.58</v>
      </c>
      <c r="AC136" s="131">
        <f t="shared" si="73"/>
        <v>3327.58</v>
      </c>
      <c r="AD136" s="131">
        <f t="shared" si="73"/>
        <v>3327.58</v>
      </c>
      <c r="AE136" s="131">
        <f t="shared" si="73"/>
        <v>3327.58</v>
      </c>
      <c r="AF136" s="131">
        <f t="shared" si="73"/>
        <v>3327.58</v>
      </c>
      <c r="AG136" s="131">
        <f t="shared" si="73"/>
        <v>3327.58</v>
      </c>
      <c r="AH136" s="131">
        <f>SUM(AH137:AH139)</f>
        <v>3327.58</v>
      </c>
    </row>
    <row r="137" spans="1:34" s="174" customFormat="1" ht="13.5" x14ac:dyDescent="0.25">
      <c r="A137" s="210" t="s">
        <v>73</v>
      </c>
      <c r="B137" s="200" t="s">
        <v>13</v>
      </c>
      <c r="C137" s="130">
        <f>C129*C130*C131</f>
        <v>0</v>
      </c>
      <c r="D137" s="130">
        <f t="shared" ref="D137:AG137" si="74">D129*D130*D131</f>
        <v>0</v>
      </c>
      <c r="E137" s="130">
        <f t="shared" si="74"/>
        <v>0</v>
      </c>
      <c r="F137" s="130">
        <f t="shared" si="74"/>
        <v>0</v>
      </c>
      <c r="G137" s="130">
        <f t="shared" si="74"/>
        <v>0</v>
      </c>
      <c r="H137" s="130">
        <f t="shared" si="74"/>
        <v>0</v>
      </c>
      <c r="I137" s="130">
        <f t="shared" si="74"/>
        <v>0</v>
      </c>
      <c r="J137" s="130">
        <f t="shared" si="74"/>
        <v>0</v>
      </c>
      <c r="K137" s="130">
        <f t="shared" si="74"/>
        <v>3249.18</v>
      </c>
      <c r="L137" s="130">
        <f t="shared" si="74"/>
        <v>3249.18</v>
      </c>
      <c r="M137" s="130">
        <f t="shared" si="74"/>
        <v>3249.18</v>
      </c>
      <c r="N137" s="130">
        <f t="shared" si="74"/>
        <v>3249.18</v>
      </c>
      <c r="O137" s="130">
        <f t="shared" si="74"/>
        <v>3249.18</v>
      </c>
      <c r="P137" s="130">
        <f t="shared" si="74"/>
        <v>3249.18</v>
      </c>
      <c r="Q137" s="130">
        <f t="shared" si="74"/>
        <v>3249.18</v>
      </c>
      <c r="R137" s="130">
        <f t="shared" si="74"/>
        <v>3249.18</v>
      </c>
      <c r="S137" s="130">
        <f t="shared" si="74"/>
        <v>3249.18</v>
      </c>
      <c r="T137" s="130">
        <f t="shared" si="74"/>
        <v>3249.18</v>
      </c>
      <c r="U137" s="130">
        <f t="shared" si="74"/>
        <v>3249.18</v>
      </c>
      <c r="V137" s="130">
        <f t="shared" si="74"/>
        <v>3249.18</v>
      </c>
      <c r="W137" s="130">
        <f t="shared" si="74"/>
        <v>3249.18</v>
      </c>
      <c r="X137" s="130">
        <f t="shared" si="74"/>
        <v>3249.18</v>
      </c>
      <c r="Y137" s="130">
        <f t="shared" si="74"/>
        <v>3249.18</v>
      </c>
      <c r="Z137" s="130">
        <f t="shared" si="74"/>
        <v>3249.18</v>
      </c>
      <c r="AA137" s="130">
        <f t="shared" si="74"/>
        <v>3249.18</v>
      </c>
      <c r="AB137" s="130">
        <f t="shared" si="74"/>
        <v>3249.18</v>
      </c>
      <c r="AC137" s="130">
        <f t="shared" si="74"/>
        <v>3249.18</v>
      </c>
      <c r="AD137" s="130">
        <f t="shared" si="74"/>
        <v>3249.18</v>
      </c>
      <c r="AE137" s="130">
        <f t="shared" si="74"/>
        <v>3249.18</v>
      </c>
      <c r="AF137" s="130">
        <f t="shared" si="74"/>
        <v>3249.18</v>
      </c>
      <c r="AG137" s="130">
        <f t="shared" si="74"/>
        <v>3249.18</v>
      </c>
      <c r="AH137" s="130">
        <f>AH129*AH130*AH131</f>
        <v>3249.18</v>
      </c>
    </row>
    <row r="138" spans="1:34" s="174" customFormat="1" ht="13.5" x14ac:dyDescent="0.25">
      <c r="A138" s="210" t="s">
        <v>364</v>
      </c>
      <c r="B138" s="200" t="s">
        <v>13</v>
      </c>
      <c r="C138" s="130">
        <f>C132*C133</f>
        <v>0</v>
      </c>
      <c r="D138" s="130">
        <f t="shared" ref="D138:AH138" si="75">D132*D133</f>
        <v>0</v>
      </c>
      <c r="E138" s="130">
        <f t="shared" si="75"/>
        <v>0</v>
      </c>
      <c r="F138" s="130">
        <f t="shared" si="75"/>
        <v>0</v>
      </c>
      <c r="G138" s="130">
        <f t="shared" si="75"/>
        <v>0</v>
      </c>
      <c r="H138" s="130">
        <f t="shared" si="75"/>
        <v>0</v>
      </c>
      <c r="I138" s="130">
        <f t="shared" si="75"/>
        <v>0</v>
      </c>
      <c r="J138" s="130">
        <f t="shared" si="75"/>
        <v>0</v>
      </c>
      <c r="K138" s="130">
        <f t="shared" si="75"/>
        <v>10.4</v>
      </c>
      <c r="L138" s="130">
        <f t="shared" si="75"/>
        <v>10.4</v>
      </c>
      <c r="M138" s="130">
        <f t="shared" si="75"/>
        <v>10.4</v>
      </c>
      <c r="N138" s="130">
        <f t="shared" si="75"/>
        <v>10.4</v>
      </c>
      <c r="O138" s="130">
        <f t="shared" si="75"/>
        <v>10.4</v>
      </c>
      <c r="P138" s="130">
        <f t="shared" si="75"/>
        <v>10.4</v>
      </c>
      <c r="Q138" s="130">
        <f t="shared" si="75"/>
        <v>10.4</v>
      </c>
      <c r="R138" s="130">
        <f t="shared" si="75"/>
        <v>10.4</v>
      </c>
      <c r="S138" s="130">
        <f t="shared" si="75"/>
        <v>10.4</v>
      </c>
      <c r="T138" s="130">
        <f t="shared" si="75"/>
        <v>10.4</v>
      </c>
      <c r="U138" s="130">
        <f t="shared" si="75"/>
        <v>10.4</v>
      </c>
      <c r="V138" s="130">
        <f t="shared" si="75"/>
        <v>10.4</v>
      </c>
      <c r="W138" s="130">
        <f t="shared" si="75"/>
        <v>10.4</v>
      </c>
      <c r="X138" s="130">
        <f t="shared" si="75"/>
        <v>10.4</v>
      </c>
      <c r="Y138" s="130">
        <f t="shared" si="75"/>
        <v>10.4</v>
      </c>
      <c r="Z138" s="130">
        <f t="shared" si="75"/>
        <v>10.4</v>
      </c>
      <c r="AA138" s="130">
        <f t="shared" si="75"/>
        <v>10.4</v>
      </c>
      <c r="AB138" s="130">
        <f t="shared" si="75"/>
        <v>10.4</v>
      </c>
      <c r="AC138" s="130">
        <f t="shared" si="75"/>
        <v>10.4</v>
      </c>
      <c r="AD138" s="130">
        <f t="shared" si="75"/>
        <v>10.4</v>
      </c>
      <c r="AE138" s="130">
        <f t="shared" si="75"/>
        <v>10.4</v>
      </c>
      <c r="AF138" s="130">
        <f t="shared" si="75"/>
        <v>10.4</v>
      </c>
      <c r="AG138" s="130">
        <f t="shared" si="75"/>
        <v>10.4</v>
      </c>
      <c r="AH138" s="130">
        <f t="shared" si="75"/>
        <v>10.4</v>
      </c>
    </row>
    <row r="139" spans="1:34" s="174" customFormat="1" ht="13.5" x14ac:dyDescent="0.25">
      <c r="A139" s="210" t="s">
        <v>365</v>
      </c>
      <c r="B139" s="200" t="s">
        <v>13</v>
      </c>
      <c r="C139" s="130">
        <f>C134*C135</f>
        <v>0</v>
      </c>
      <c r="D139" s="130">
        <f t="shared" ref="D139:AG139" si="76">D134*D135</f>
        <v>0</v>
      </c>
      <c r="E139" s="130">
        <f t="shared" si="76"/>
        <v>0</v>
      </c>
      <c r="F139" s="130">
        <f t="shared" si="76"/>
        <v>0</v>
      </c>
      <c r="G139" s="130">
        <f t="shared" si="76"/>
        <v>0</v>
      </c>
      <c r="H139" s="130">
        <f t="shared" si="76"/>
        <v>0</v>
      </c>
      <c r="I139" s="130">
        <f t="shared" si="76"/>
        <v>0</v>
      </c>
      <c r="J139" s="130">
        <f t="shared" si="76"/>
        <v>0</v>
      </c>
      <c r="K139" s="130">
        <f t="shared" si="76"/>
        <v>68</v>
      </c>
      <c r="L139" s="130">
        <f t="shared" si="76"/>
        <v>68</v>
      </c>
      <c r="M139" s="130">
        <f t="shared" si="76"/>
        <v>68</v>
      </c>
      <c r="N139" s="130">
        <f t="shared" si="76"/>
        <v>68</v>
      </c>
      <c r="O139" s="130">
        <f t="shared" si="76"/>
        <v>68</v>
      </c>
      <c r="P139" s="130">
        <f t="shared" si="76"/>
        <v>68</v>
      </c>
      <c r="Q139" s="130">
        <f t="shared" si="76"/>
        <v>68</v>
      </c>
      <c r="R139" s="130">
        <f t="shared" si="76"/>
        <v>68</v>
      </c>
      <c r="S139" s="130">
        <f t="shared" si="76"/>
        <v>68</v>
      </c>
      <c r="T139" s="130">
        <f t="shared" si="76"/>
        <v>68</v>
      </c>
      <c r="U139" s="130">
        <f t="shared" si="76"/>
        <v>68</v>
      </c>
      <c r="V139" s="130">
        <f t="shared" si="76"/>
        <v>68</v>
      </c>
      <c r="W139" s="130">
        <f t="shared" si="76"/>
        <v>68</v>
      </c>
      <c r="X139" s="130">
        <f t="shared" si="76"/>
        <v>68</v>
      </c>
      <c r="Y139" s="130">
        <f t="shared" si="76"/>
        <v>68</v>
      </c>
      <c r="Z139" s="130">
        <f t="shared" si="76"/>
        <v>68</v>
      </c>
      <c r="AA139" s="130">
        <f t="shared" si="76"/>
        <v>68</v>
      </c>
      <c r="AB139" s="130">
        <f t="shared" si="76"/>
        <v>68</v>
      </c>
      <c r="AC139" s="130">
        <f t="shared" si="76"/>
        <v>68</v>
      </c>
      <c r="AD139" s="130">
        <f t="shared" si="76"/>
        <v>68</v>
      </c>
      <c r="AE139" s="130">
        <f t="shared" si="76"/>
        <v>68</v>
      </c>
      <c r="AF139" s="130">
        <f t="shared" si="76"/>
        <v>68</v>
      </c>
      <c r="AG139" s="130">
        <f t="shared" si="76"/>
        <v>68</v>
      </c>
      <c r="AH139" s="130">
        <f>AH134*AH135</f>
        <v>68</v>
      </c>
    </row>
    <row r="140" spans="1:34" s="174" customFormat="1" ht="13.5" x14ac:dyDescent="0.25">
      <c r="A140" s="209" t="str">
        <f>A100</f>
        <v>zużycie wody [m3/r]</v>
      </c>
      <c r="B140" s="202" t="s">
        <v>77</v>
      </c>
      <c r="C140" s="119">
        <f>SUM(C141:C143)</f>
        <v>0</v>
      </c>
      <c r="D140" s="119">
        <f t="shared" ref="D140:AG140" si="77">SUM(D141:D143)</f>
        <v>0</v>
      </c>
      <c r="E140" s="119">
        <f t="shared" si="77"/>
        <v>0</v>
      </c>
      <c r="F140" s="119">
        <f t="shared" si="77"/>
        <v>0</v>
      </c>
      <c r="G140" s="119">
        <f t="shared" si="77"/>
        <v>0</v>
      </c>
      <c r="H140" s="119">
        <f t="shared" si="77"/>
        <v>0</v>
      </c>
      <c r="I140" s="119">
        <f t="shared" si="77"/>
        <v>0</v>
      </c>
      <c r="J140" s="119">
        <f t="shared" si="77"/>
        <v>0</v>
      </c>
      <c r="K140" s="119">
        <f t="shared" si="77"/>
        <v>1214566.7</v>
      </c>
      <c r="L140" s="119">
        <f t="shared" si="77"/>
        <v>1214566.7</v>
      </c>
      <c r="M140" s="119">
        <f t="shared" si="77"/>
        <v>1214566.7</v>
      </c>
      <c r="N140" s="119">
        <f t="shared" si="77"/>
        <v>1214566.7</v>
      </c>
      <c r="O140" s="119">
        <f t="shared" si="77"/>
        <v>1214566.7</v>
      </c>
      <c r="P140" s="119">
        <f t="shared" si="77"/>
        <v>1214566.7</v>
      </c>
      <c r="Q140" s="119">
        <f t="shared" si="77"/>
        <v>1214566.7</v>
      </c>
      <c r="R140" s="119">
        <f t="shared" si="77"/>
        <v>1214566.7</v>
      </c>
      <c r="S140" s="119">
        <f t="shared" si="77"/>
        <v>1214566.7</v>
      </c>
      <c r="T140" s="119">
        <f t="shared" si="77"/>
        <v>1214566.7</v>
      </c>
      <c r="U140" s="119">
        <f t="shared" si="77"/>
        <v>1214566.7</v>
      </c>
      <c r="V140" s="119">
        <f t="shared" si="77"/>
        <v>1214566.7</v>
      </c>
      <c r="W140" s="119">
        <f t="shared" si="77"/>
        <v>1214566.7</v>
      </c>
      <c r="X140" s="119">
        <f t="shared" si="77"/>
        <v>1214566.7</v>
      </c>
      <c r="Y140" s="119">
        <f t="shared" si="77"/>
        <v>1214566.7</v>
      </c>
      <c r="Z140" s="119">
        <f t="shared" si="77"/>
        <v>1214566.7</v>
      </c>
      <c r="AA140" s="119">
        <f t="shared" si="77"/>
        <v>1214566.7</v>
      </c>
      <c r="AB140" s="119">
        <f t="shared" si="77"/>
        <v>1214566.7</v>
      </c>
      <c r="AC140" s="119">
        <f t="shared" si="77"/>
        <v>1214566.7</v>
      </c>
      <c r="AD140" s="119">
        <f t="shared" si="77"/>
        <v>1214566.7</v>
      </c>
      <c r="AE140" s="119">
        <f t="shared" si="77"/>
        <v>1214566.7</v>
      </c>
      <c r="AF140" s="119">
        <f t="shared" si="77"/>
        <v>1214566.7</v>
      </c>
      <c r="AG140" s="119">
        <f t="shared" si="77"/>
        <v>1214566.7</v>
      </c>
      <c r="AH140" s="119">
        <f>SUM(AH141:AH143)</f>
        <v>1214566.7</v>
      </c>
    </row>
    <row r="141" spans="1:34" s="174" customFormat="1" ht="13.5" x14ac:dyDescent="0.25">
      <c r="A141" s="210" t="s">
        <v>73</v>
      </c>
      <c r="B141" s="200" t="s">
        <v>77</v>
      </c>
      <c r="C141" s="118">
        <f>C137*$B$144</f>
        <v>0</v>
      </c>
      <c r="D141" s="118">
        <f t="shared" ref="D141:AG141" si="78">D137*$B$144</f>
        <v>0</v>
      </c>
      <c r="E141" s="118">
        <f t="shared" si="78"/>
        <v>0</v>
      </c>
      <c r="F141" s="118">
        <f t="shared" si="78"/>
        <v>0</v>
      </c>
      <c r="G141" s="118">
        <f t="shared" si="78"/>
        <v>0</v>
      </c>
      <c r="H141" s="118">
        <f t="shared" si="78"/>
        <v>0</v>
      </c>
      <c r="I141" s="118">
        <f t="shared" si="78"/>
        <v>0</v>
      </c>
      <c r="J141" s="118">
        <f t="shared" si="78"/>
        <v>0</v>
      </c>
      <c r="K141" s="118">
        <f t="shared" si="78"/>
        <v>1185950.7</v>
      </c>
      <c r="L141" s="118">
        <f t="shared" si="78"/>
        <v>1185950.7</v>
      </c>
      <c r="M141" s="118">
        <f t="shared" si="78"/>
        <v>1185950.7</v>
      </c>
      <c r="N141" s="118">
        <f t="shared" si="78"/>
        <v>1185950.7</v>
      </c>
      <c r="O141" s="118">
        <f t="shared" si="78"/>
        <v>1185950.7</v>
      </c>
      <c r="P141" s="118">
        <f t="shared" si="78"/>
        <v>1185950.7</v>
      </c>
      <c r="Q141" s="118">
        <f t="shared" si="78"/>
        <v>1185950.7</v>
      </c>
      <c r="R141" s="118">
        <f t="shared" si="78"/>
        <v>1185950.7</v>
      </c>
      <c r="S141" s="118">
        <f t="shared" si="78"/>
        <v>1185950.7</v>
      </c>
      <c r="T141" s="118">
        <f t="shared" si="78"/>
        <v>1185950.7</v>
      </c>
      <c r="U141" s="118">
        <f t="shared" si="78"/>
        <v>1185950.7</v>
      </c>
      <c r="V141" s="118">
        <f t="shared" si="78"/>
        <v>1185950.7</v>
      </c>
      <c r="W141" s="118">
        <f t="shared" si="78"/>
        <v>1185950.7</v>
      </c>
      <c r="X141" s="118">
        <f t="shared" si="78"/>
        <v>1185950.7</v>
      </c>
      <c r="Y141" s="118">
        <f t="shared" si="78"/>
        <v>1185950.7</v>
      </c>
      <c r="Z141" s="118">
        <f t="shared" si="78"/>
        <v>1185950.7</v>
      </c>
      <c r="AA141" s="118">
        <f t="shared" si="78"/>
        <v>1185950.7</v>
      </c>
      <c r="AB141" s="118">
        <f t="shared" si="78"/>
        <v>1185950.7</v>
      </c>
      <c r="AC141" s="118">
        <f t="shared" si="78"/>
        <v>1185950.7</v>
      </c>
      <c r="AD141" s="118">
        <f t="shared" si="78"/>
        <v>1185950.7</v>
      </c>
      <c r="AE141" s="118">
        <f t="shared" si="78"/>
        <v>1185950.7</v>
      </c>
      <c r="AF141" s="118">
        <f t="shared" si="78"/>
        <v>1185950.7</v>
      </c>
      <c r="AG141" s="118">
        <f t="shared" si="78"/>
        <v>1185950.7</v>
      </c>
      <c r="AH141" s="118">
        <f>AH137*$B$144</f>
        <v>1185950.7</v>
      </c>
    </row>
    <row r="142" spans="1:34" s="174" customFormat="1" ht="13.5" x14ac:dyDescent="0.25">
      <c r="A142" s="210" t="s">
        <v>364</v>
      </c>
      <c r="B142" s="200" t="s">
        <v>77</v>
      </c>
      <c r="C142" s="118">
        <f>C138*$B$144</f>
        <v>0</v>
      </c>
      <c r="D142" s="118">
        <f t="shared" ref="D142:AG142" si="79">D138*$B$144</f>
        <v>0</v>
      </c>
      <c r="E142" s="118">
        <f t="shared" si="79"/>
        <v>0</v>
      </c>
      <c r="F142" s="118">
        <f t="shared" si="79"/>
        <v>0</v>
      </c>
      <c r="G142" s="118">
        <f t="shared" si="79"/>
        <v>0</v>
      </c>
      <c r="H142" s="118">
        <f t="shared" si="79"/>
        <v>0</v>
      </c>
      <c r="I142" s="118">
        <f t="shared" si="79"/>
        <v>0</v>
      </c>
      <c r="J142" s="118">
        <f t="shared" si="79"/>
        <v>0</v>
      </c>
      <c r="K142" s="118">
        <f t="shared" si="79"/>
        <v>3796</v>
      </c>
      <c r="L142" s="118">
        <f t="shared" si="79"/>
        <v>3796</v>
      </c>
      <c r="M142" s="118">
        <f t="shared" si="79"/>
        <v>3796</v>
      </c>
      <c r="N142" s="118">
        <f t="shared" si="79"/>
        <v>3796</v>
      </c>
      <c r="O142" s="118">
        <f t="shared" si="79"/>
        <v>3796</v>
      </c>
      <c r="P142" s="118">
        <f t="shared" si="79"/>
        <v>3796</v>
      </c>
      <c r="Q142" s="118">
        <f t="shared" si="79"/>
        <v>3796</v>
      </c>
      <c r="R142" s="118">
        <f t="shared" si="79"/>
        <v>3796</v>
      </c>
      <c r="S142" s="118">
        <f t="shared" si="79"/>
        <v>3796</v>
      </c>
      <c r="T142" s="118">
        <f t="shared" si="79"/>
        <v>3796</v>
      </c>
      <c r="U142" s="118">
        <f t="shared" si="79"/>
        <v>3796</v>
      </c>
      <c r="V142" s="118">
        <f t="shared" si="79"/>
        <v>3796</v>
      </c>
      <c r="W142" s="118">
        <f t="shared" si="79"/>
        <v>3796</v>
      </c>
      <c r="X142" s="118">
        <f t="shared" si="79"/>
        <v>3796</v>
      </c>
      <c r="Y142" s="118">
        <f t="shared" si="79"/>
        <v>3796</v>
      </c>
      <c r="Z142" s="118">
        <f t="shared" si="79"/>
        <v>3796</v>
      </c>
      <c r="AA142" s="118">
        <f t="shared" si="79"/>
        <v>3796</v>
      </c>
      <c r="AB142" s="118">
        <f t="shared" si="79"/>
        <v>3796</v>
      </c>
      <c r="AC142" s="118">
        <f t="shared" si="79"/>
        <v>3796</v>
      </c>
      <c r="AD142" s="118">
        <f t="shared" si="79"/>
        <v>3796</v>
      </c>
      <c r="AE142" s="118">
        <f t="shared" si="79"/>
        <v>3796</v>
      </c>
      <c r="AF142" s="118">
        <f t="shared" si="79"/>
        <v>3796</v>
      </c>
      <c r="AG142" s="118">
        <f t="shared" si="79"/>
        <v>3796</v>
      </c>
      <c r="AH142" s="118">
        <f>AH138*$B$144</f>
        <v>3796</v>
      </c>
    </row>
    <row r="143" spans="1:34" s="174" customFormat="1" ht="13.5" x14ac:dyDescent="0.25">
      <c r="A143" s="210" t="s">
        <v>365</v>
      </c>
      <c r="B143" s="200" t="s">
        <v>77</v>
      </c>
      <c r="C143" s="118">
        <f>C139*$B$144</f>
        <v>0</v>
      </c>
      <c r="D143" s="118">
        <f t="shared" ref="D143:AG143" si="80">D139*$B$144</f>
        <v>0</v>
      </c>
      <c r="E143" s="118">
        <f t="shared" si="80"/>
        <v>0</v>
      </c>
      <c r="F143" s="118">
        <f t="shared" si="80"/>
        <v>0</v>
      </c>
      <c r="G143" s="118">
        <f t="shared" si="80"/>
        <v>0</v>
      </c>
      <c r="H143" s="118">
        <f t="shared" si="80"/>
        <v>0</v>
      </c>
      <c r="I143" s="118">
        <f t="shared" si="80"/>
        <v>0</v>
      </c>
      <c r="J143" s="118">
        <f t="shared" si="80"/>
        <v>0</v>
      </c>
      <c r="K143" s="118">
        <f t="shared" si="80"/>
        <v>24820</v>
      </c>
      <c r="L143" s="118">
        <f t="shared" si="80"/>
        <v>24820</v>
      </c>
      <c r="M143" s="118">
        <f t="shared" si="80"/>
        <v>24820</v>
      </c>
      <c r="N143" s="118">
        <f t="shared" si="80"/>
        <v>24820</v>
      </c>
      <c r="O143" s="118">
        <f t="shared" si="80"/>
        <v>24820</v>
      </c>
      <c r="P143" s="118">
        <f t="shared" si="80"/>
        <v>24820</v>
      </c>
      <c r="Q143" s="118">
        <f t="shared" si="80"/>
        <v>24820</v>
      </c>
      <c r="R143" s="118">
        <f t="shared" si="80"/>
        <v>24820</v>
      </c>
      <c r="S143" s="118">
        <f t="shared" si="80"/>
        <v>24820</v>
      </c>
      <c r="T143" s="118">
        <f t="shared" si="80"/>
        <v>24820</v>
      </c>
      <c r="U143" s="118">
        <f t="shared" si="80"/>
        <v>24820</v>
      </c>
      <c r="V143" s="118">
        <f t="shared" si="80"/>
        <v>24820</v>
      </c>
      <c r="W143" s="118">
        <f t="shared" si="80"/>
        <v>24820</v>
      </c>
      <c r="X143" s="118">
        <f t="shared" si="80"/>
        <v>24820</v>
      </c>
      <c r="Y143" s="118">
        <f t="shared" si="80"/>
        <v>24820</v>
      </c>
      <c r="Z143" s="118">
        <f t="shared" si="80"/>
        <v>24820</v>
      </c>
      <c r="AA143" s="118">
        <f t="shared" si="80"/>
        <v>24820</v>
      </c>
      <c r="AB143" s="118">
        <f t="shared" si="80"/>
        <v>24820</v>
      </c>
      <c r="AC143" s="118">
        <f t="shared" si="80"/>
        <v>24820</v>
      </c>
      <c r="AD143" s="118">
        <f t="shared" si="80"/>
        <v>24820</v>
      </c>
      <c r="AE143" s="118">
        <f t="shared" si="80"/>
        <v>24820</v>
      </c>
      <c r="AF143" s="118">
        <f t="shared" si="80"/>
        <v>24820</v>
      </c>
      <c r="AG143" s="118">
        <f t="shared" si="80"/>
        <v>24820</v>
      </c>
      <c r="AH143" s="118">
        <f>AH139*$B$144</f>
        <v>24820</v>
      </c>
    </row>
    <row r="144" spans="1:34" s="174" customFormat="1" ht="13.5" x14ac:dyDescent="0.2">
      <c r="A144" s="116" t="s">
        <v>78</v>
      </c>
      <c r="B144" s="117">
        <v>365</v>
      </c>
    </row>
    <row r="145" spans="1:34" s="174" customFormat="1" ht="13.5" x14ac:dyDescent="0.2">
      <c r="A145" s="116" t="s">
        <v>79</v>
      </c>
      <c r="B145" s="117">
        <v>30</v>
      </c>
      <c r="K145" s="211"/>
    </row>
    <row r="146" spans="1:34" hidden="1" x14ac:dyDescent="0.2">
      <c r="A146" s="239"/>
      <c r="B146" s="240"/>
    </row>
    <row r="147" spans="1:34" ht="15.75" x14ac:dyDescent="0.2">
      <c r="A147" s="233" t="s">
        <v>406</v>
      </c>
    </row>
    <row r="148" spans="1:34" s="140" customFormat="1" ht="12.75" customHeight="1" x14ac:dyDescent="0.25">
      <c r="A148" s="17" t="s">
        <v>262</v>
      </c>
      <c r="B148" s="18" t="s">
        <v>2</v>
      </c>
      <c r="C148" s="18">
        <v>2013</v>
      </c>
      <c r="D148" s="18">
        <f t="shared" ref="D148:AH148" si="81">C148+1</f>
        <v>2014</v>
      </c>
      <c r="E148" s="18">
        <f t="shared" si="81"/>
        <v>2015</v>
      </c>
      <c r="F148" s="18">
        <f t="shared" si="81"/>
        <v>2016</v>
      </c>
      <c r="G148" s="18">
        <f t="shared" si="81"/>
        <v>2017</v>
      </c>
      <c r="H148" s="18">
        <f t="shared" si="81"/>
        <v>2018</v>
      </c>
      <c r="I148" s="18">
        <f t="shared" si="81"/>
        <v>2019</v>
      </c>
      <c r="J148" s="18">
        <f t="shared" si="81"/>
        <v>2020</v>
      </c>
      <c r="K148" s="18">
        <f t="shared" si="81"/>
        <v>2021</v>
      </c>
      <c r="L148" s="18">
        <f t="shared" si="81"/>
        <v>2022</v>
      </c>
      <c r="M148" s="18">
        <f t="shared" si="81"/>
        <v>2023</v>
      </c>
      <c r="N148" s="18">
        <f t="shared" si="81"/>
        <v>2024</v>
      </c>
      <c r="O148" s="18">
        <f t="shared" si="81"/>
        <v>2025</v>
      </c>
      <c r="P148" s="18">
        <f t="shared" si="81"/>
        <v>2026</v>
      </c>
      <c r="Q148" s="18">
        <f t="shared" si="81"/>
        <v>2027</v>
      </c>
      <c r="R148" s="18">
        <f t="shared" si="81"/>
        <v>2028</v>
      </c>
      <c r="S148" s="18">
        <f t="shared" si="81"/>
        <v>2029</v>
      </c>
      <c r="T148" s="18">
        <f t="shared" si="81"/>
        <v>2030</v>
      </c>
      <c r="U148" s="18">
        <f t="shared" si="81"/>
        <v>2031</v>
      </c>
      <c r="V148" s="18">
        <f t="shared" si="81"/>
        <v>2032</v>
      </c>
      <c r="W148" s="18">
        <f t="shared" si="81"/>
        <v>2033</v>
      </c>
      <c r="X148" s="18">
        <f t="shared" si="81"/>
        <v>2034</v>
      </c>
      <c r="Y148" s="18">
        <f t="shared" si="81"/>
        <v>2035</v>
      </c>
      <c r="Z148" s="18">
        <f t="shared" si="81"/>
        <v>2036</v>
      </c>
      <c r="AA148" s="18">
        <f t="shared" si="81"/>
        <v>2037</v>
      </c>
      <c r="AB148" s="18">
        <f t="shared" si="81"/>
        <v>2038</v>
      </c>
      <c r="AC148" s="18">
        <f t="shared" si="81"/>
        <v>2039</v>
      </c>
      <c r="AD148" s="18">
        <f t="shared" si="81"/>
        <v>2040</v>
      </c>
      <c r="AE148" s="18">
        <f t="shared" si="81"/>
        <v>2041</v>
      </c>
      <c r="AF148" s="18">
        <f t="shared" si="81"/>
        <v>2042</v>
      </c>
      <c r="AG148" s="18">
        <f t="shared" si="81"/>
        <v>2043</v>
      </c>
      <c r="AH148" s="18">
        <f t="shared" si="81"/>
        <v>2044</v>
      </c>
    </row>
    <row r="149" spans="1:34" s="174" customFormat="1" ht="27" x14ac:dyDescent="0.25">
      <c r="A149" s="16" t="s">
        <v>328</v>
      </c>
      <c r="B149" s="7" t="s">
        <v>9</v>
      </c>
      <c r="C149" s="56">
        <f>'Założenia-dane wejściowe '!D140</f>
        <v>0</v>
      </c>
      <c r="D149" s="56">
        <f>'Założenia-dane wejściowe '!E140</f>
        <v>0</v>
      </c>
      <c r="E149" s="56">
        <f>'Założenia-dane wejściowe '!F140</f>
        <v>0</v>
      </c>
      <c r="F149" s="56">
        <f>'Założenia-dane wejściowe '!G140</f>
        <v>0</v>
      </c>
      <c r="G149" s="56">
        <f>'Założenia-dane wejściowe '!H140</f>
        <v>0</v>
      </c>
      <c r="H149" s="56">
        <f>'Założenia-dane wejściowe '!I140</f>
        <v>0</v>
      </c>
      <c r="I149" s="56">
        <f>'Założenia-dane wejściowe '!J140</f>
        <v>0</v>
      </c>
      <c r="J149" s="56">
        <f>'Założenia-dane wejściowe '!K140</f>
        <v>0</v>
      </c>
      <c r="K149" s="56">
        <f>'Założenia-dane wejściowe '!L140</f>
        <v>10800</v>
      </c>
      <c r="L149" s="56">
        <f>'Założenia-dane wejściowe '!M140</f>
        <v>10800</v>
      </c>
      <c r="M149" s="56">
        <f>'Założenia-dane wejściowe '!N140</f>
        <v>10800</v>
      </c>
      <c r="N149" s="56">
        <f>'Założenia-dane wejściowe '!O140</f>
        <v>10800</v>
      </c>
      <c r="O149" s="56">
        <f>'Założenia-dane wejściowe '!P140</f>
        <v>10800</v>
      </c>
      <c r="P149" s="56">
        <f>'Założenia-dane wejściowe '!Q140</f>
        <v>10800</v>
      </c>
      <c r="Q149" s="56">
        <f>'Założenia-dane wejściowe '!R140</f>
        <v>10800</v>
      </c>
      <c r="R149" s="56">
        <f>'Założenia-dane wejściowe '!S140</f>
        <v>10800</v>
      </c>
      <c r="S149" s="56">
        <f>'Założenia-dane wejściowe '!T140</f>
        <v>10800</v>
      </c>
      <c r="T149" s="56">
        <f>'Założenia-dane wejściowe '!U140</f>
        <v>10800</v>
      </c>
      <c r="U149" s="56">
        <f>'Założenia-dane wejściowe '!V140</f>
        <v>10800</v>
      </c>
      <c r="V149" s="56">
        <f>'Założenia-dane wejściowe '!W140</f>
        <v>10800</v>
      </c>
      <c r="W149" s="56">
        <f>'Założenia-dane wejściowe '!X140</f>
        <v>10800</v>
      </c>
      <c r="X149" s="56">
        <f>'Założenia-dane wejściowe '!Y140</f>
        <v>10800</v>
      </c>
      <c r="Y149" s="56">
        <f>'Założenia-dane wejściowe '!Z140</f>
        <v>10800</v>
      </c>
      <c r="Z149" s="56">
        <f>'Założenia-dane wejściowe '!AA140</f>
        <v>10800</v>
      </c>
      <c r="AA149" s="56">
        <f>'Założenia-dane wejściowe '!AB140</f>
        <v>10800</v>
      </c>
      <c r="AB149" s="56">
        <f>'Założenia-dane wejściowe '!AC140</f>
        <v>10800</v>
      </c>
      <c r="AC149" s="56">
        <f>'Założenia-dane wejściowe '!AD140</f>
        <v>10800</v>
      </c>
      <c r="AD149" s="56">
        <f>'Założenia-dane wejściowe '!AE140</f>
        <v>10800</v>
      </c>
      <c r="AE149" s="56">
        <f>'Założenia-dane wejściowe '!AF140</f>
        <v>10800</v>
      </c>
      <c r="AF149" s="56">
        <f>'Założenia-dane wejściowe '!AG140</f>
        <v>10800</v>
      </c>
      <c r="AG149" s="56">
        <f>'Założenia-dane wejściowe '!AH140</f>
        <v>10800</v>
      </c>
      <c r="AH149" s="56">
        <f>'Założenia-dane wejściowe '!AI140</f>
        <v>10800</v>
      </c>
    </row>
    <row r="150" spans="1:34" s="174" customFormat="1" ht="27" x14ac:dyDescent="0.25">
      <c r="A150" s="16" t="s">
        <v>274</v>
      </c>
      <c r="B150" s="7" t="s">
        <v>21</v>
      </c>
      <c r="C150" s="444">
        <f>'Założenia-dane wejściowe '!D141</f>
        <v>8.5499999999999993E-2</v>
      </c>
      <c r="D150" s="444">
        <f t="shared" ref="D150:AH150" si="82">C150</f>
        <v>8.5499999999999993E-2</v>
      </c>
      <c r="E150" s="444">
        <f t="shared" si="82"/>
        <v>8.5499999999999993E-2</v>
      </c>
      <c r="F150" s="444">
        <f t="shared" si="82"/>
        <v>8.5499999999999993E-2</v>
      </c>
      <c r="G150" s="444">
        <f t="shared" si="82"/>
        <v>8.5499999999999993E-2</v>
      </c>
      <c r="H150" s="444">
        <f t="shared" si="82"/>
        <v>8.5499999999999993E-2</v>
      </c>
      <c r="I150" s="444">
        <f t="shared" si="82"/>
        <v>8.5499999999999993E-2</v>
      </c>
      <c r="J150" s="444">
        <f t="shared" si="82"/>
        <v>8.5499999999999993E-2</v>
      </c>
      <c r="K150" s="444">
        <f t="shared" si="82"/>
        <v>8.5499999999999993E-2</v>
      </c>
      <c r="L150" s="444">
        <f t="shared" si="82"/>
        <v>8.5499999999999993E-2</v>
      </c>
      <c r="M150" s="444">
        <f t="shared" si="82"/>
        <v>8.5499999999999993E-2</v>
      </c>
      <c r="N150" s="444">
        <f t="shared" si="82"/>
        <v>8.5499999999999993E-2</v>
      </c>
      <c r="O150" s="444">
        <f t="shared" si="82"/>
        <v>8.5499999999999993E-2</v>
      </c>
      <c r="P150" s="444">
        <f t="shared" si="82"/>
        <v>8.5499999999999993E-2</v>
      </c>
      <c r="Q150" s="444">
        <f t="shared" si="82"/>
        <v>8.5499999999999993E-2</v>
      </c>
      <c r="R150" s="444">
        <f t="shared" si="82"/>
        <v>8.5499999999999993E-2</v>
      </c>
      <c r="S150" s="444">
        <f t="shared" si="82"/>
        <v>8.5499999999999993E-2</v>
      </c>
      <c r="T150" s="444">
        <f t="shared" si="82"/>
        <v>8.5499999999999993E-2</v>
      </c>
      <c r="U150" s="444">
        <f t="shared" si="82"/>
        <v>8.5499999999999993E-2</v>
      </c>
      <c r="V150" s="444">
        <f t="shared" si="82"/>
        <v>8.5499999999999993E-2</v>
      </c>
      <c r="W150" s="444">
        <f t="shared" si="82"/>
        <v>8.5499999999999993E-2</v>
      </c>
      <c r="X150" s="444">
        <f t="shared" si="82"/>
        <v>8.5499999999999993E-2</v>
      </c>
      <c r="Y150" s="444">
        <f t="shared" si="82"/>
        <v>8.5499999999999993E-2</v>
      </c>
      <c r="Z150" s="444">
        <f t="shared" si="82"/>
        <v>8.5499999999999993E-2</v>
      </c>
      <c r="AA150" s="444">
        <f t="shared" si="82"/>
        <v>8.5499999999999993E-2</v>
      </c>
      <c r="AB150" s="444">
        <f t="shared" si="82"/>
        <v>8.5499999999999993E-2</v>
      </c>
      <c r="AC150" s="444">
        <f t="shared" si="82"/>
        <v>8.5499999999999993E-2</v>
      </c>
      <c r="AD150" s="444">
        <f t="shared" si="82"/>
        <v>8.5499999999999993E-2</v>
      </c>
      <c r="AE150" s="444">
        <f t="shared" si="82"/>
        <v>8.5499999999999993E-2</v>
      </c>
      <c r="AF150" s="444">
        <f t="shared" si="82"/>
        <v>8.5499999999999993E-2</v>
      </c>
      <c r="AG150" s="444">
        <f t="shared" si="82"/>
        <v>8.5499999999999993E-2</v>
      </c>
      <c r="AH150" s="444">
        <f t="shared" si="82"/>
        <v>8.5499999999999993E-2</v>
      </c>
    </row>
    <row r="151" spans="1:34" s="174" customFormat="1" ht="13.5" x14ac:dyDescent="0.25">
      <c r="A151" s="59" t="s">
        <v>264</v>
      </c>
      <c r="B151" s="7" t="s">
        <v>10</v>
      </c>
      <c r="C151" s="57">
        <f>'Założenia-dane wejściowe '!D142</f>
        <v>5.38</v>
      </c>
      <c r="D151" s="57">
        <f>'Założenia-dane wejściowe '!E142</f>
        <v>5.38</v>
      </c>
      <c r="E151" s="57">
        <f>'Założenia-dane wejściowe '!F142</f>
        <v>5.38</v>
      </c>
      <c r="F151" s="57">
        <f>'Założenia-dane wejściowe '!G142</f>
        <v>5.38</v>
      </c>
      <c r="G151" s="57">
        <f>'Założenia-dane wejściowe '!H142</f>
        <v>5.38</v>
      </c>
      <c r="H151" s="57">
        <f>'Założenia-dane wejściowe '!I142</f>
        <v>5.38</v>
      </c>
      <c r="I151" s="57">
        <f>'Założenia-dane wejściowe '!J142</f>
        <v>5.38</v>
      </c>
      <c r="J151" s="57">
        <f>'Założenia-dane wejściowe '!K142</f>
        <v>5.38</v>
      </c>
      <c r="K151" s="57">
        <f>'Założenia-dane wejściowe '!L142</f>
        <v>5.38</v>
      </c>
      <c r="L151" s="57">
        <f>'Założenia-dane wejściowe '!M142</f>
        <v>5.38</v>
      </c>
      <c r="M151" s="57">
        <f>'Założenia-dane wejściowe '!N142</f>
        <v>5.38</v>
      </c>
      <c r="N151" s="57">
        <f>'Założenia-dane wejściowe '!O142</f>
        <v>5.38</v>
      </c>
      <c r="O151" s="57">
        <f>'Założenia-dane wejściowe '!P142</f>
        <v>5.38</v>
      </c>
      <c r="P151" s="57">
        <f>'Założenia-dane wejściowe '!Q142</f>
        <v>5.38</v>
      </c>
      <c r="Q151" s="57">
        <f>'Założenia-dane wejściowe '!R142</f>
        <v>5.38</v>
      </c>
      <c r="R151" s="57">
        <f>'Założenia-dane wejściowe '!S142</f>
        <v>5.38</v>
      </c>
      <c r="S151" s="57">
        <f>'Założenia-dane wejściowe '!T142</f>
        <v>5.38</v>
      </c>
      <c r="T151" s="57">
        <f>'Założenia-dane wejściowe '!U142</f>
        <v>5.38</v>
      </c>
      <c r="U151" s="57">
        <f>'Założenia-dane wejściowe '!V142</f>
        <v>5.38</v>
      </c>
      <c r="V151" s="57">
        <f>'Założenia-dane wejściowe '!W142</f>
        <v>5.38</v>
      </c>
      <c r="W151" s="57">
        <f>'Założenia-dane wejściowe '!X142</f>
        <v>5.38</v>
      </c>
      <c r="X151" s="57">
        <f>'Założenia-dane wejściowe '!Y142</f>
        <v>5.38</v>
      </c>
      <c r="Y151" s="57">
        <f>'Założenia-dane wejściowe '!Z142</f>
        <v>5.38</v>
      </c>
      <c r="Z151" s="57">
        <f>'Założenia-dane wejściowe '!AA142</f>
        <v>5.38</v>
      </c>
      <c r="AA151" s="57">
        <f>'Założenia-dane wejściowe '!AB142</f>
        <v>5.38</v>
      </c>
      <c r="AB151" s="57">
        <f>'Założenia-dane wejściowe '!AC142</f>
        <v>5.38</v>
      </c>
      <c r="AC151" s="57">
        <f>'Założenia-dane wejściowe '!AD142</f>
        <v>5.38</v>
      </c>
      <c r="AD151" s="57">
        <f>'Założenia-dane wejściowe '!AE142</f>
        <v>5.38</v>
      </c>
      <c r="AE151" s="57">
        <f>'Założenia-dane wejściowe '!AF142</f>
        <v>5.38</v>
      </c>
      <c r="AF151" s="57">
        <f>'Założenia-dane wejściowe '!AG142</f>
        <v>5.38</v>
      </c>
      <c r="AG151" s="57">
        <f>'Założenia-dane wejściowe '!AH142</f>
        <v>5.38</v>
      </c>
      <c r="AH151" s="57">
        <f>'Założenia-dane wejściowe '!AI142</f>
        <v>5.38</v>
      </c>
    </row>
    <row r="152" spans="1:34" s="174" customFormat="1" ht="27" x14ac:dyDescent="0.25">
      <c r="A152" s="16" t="s">
        <v>277</v>
      </c>
      <c r="B152" s="7" t="s">
        <v>12</v>
      </c>
      <c r="C152" s="56">
        <f>'Założenia-dane wejściowe '!D143</f>
        <v>0</v>
      </c>
      <c r="D152" s="56">
        <f>'Założenia-dane wejściowe '!E143</f>
        <v>0</v>
      </c>
      <c r="E152" s="56">
        <f>'Założenia-dane wejściowe '!F143</f>
        <v>0</v>
      </c>
      <c r="F152" s="56">
        <f>'Założenia-dane wejściowe '!G143</f>
        <v>0</v>
      </c>
      <c r="G152" s="56">
        <f>'Założenia-dane wejściowe '!H143</f>
        <v>0</v>
      </c>
      <c r="H152" s="56">
        <f>'Założenia-dane wejściowe '!I143</f>
        <v>0</v>
      </c>
      <c r="I152" s="56">
        <f>'Założenia-dane wejściowe '!J143</f>
        <v>0</v>
      </c>
      <c r="J152" s="56">
        <f>'Założenia-dane wejściowe '!K143</f>
        <v>0</v>
      </c>
      <c r="K152" s="56">
        <f>'Założenia-dane wejściowe '!L143</f>
        <v>10</v>
      </c>
      <c r="L152" s="56">
        <f>'Założenia-dane wejściowe '!M143</f>
        <v>10</v>
      </c>
      <c r="M152" s="56">
        <f>'Założenia-dane wejściowe '!N143</f>
        <v>10</v>
      </c>
      <c r="N152" s="56">
        <f>'Założenia-dane wejściowe '!O143</f>
        <v>10</v>
      </c>
      <c r="O152" s="56">
        <f>'Założenia-dane wejściowe '!P143</f>
        <v>10</v>
      </c>
      <c r="P152" s="56">
        <f>'Założenia-dane wejściowe '!Q143</f>
        <v>10</v>
      </c>
      <c r="Q152" s="56">
        <f>'Założenia-dane wejściowe '!R143</f>
        <v>10</v>
      </c>
      <c r="R152" s="56">
        <f>'Założenia-dane wejściowe '!S143</f>
        <v>10</v>
      </c>
      <c r="S152" s="56">
        <f>'Założenia-dane wejściowe '!T143</f>
        <v>10</v>
      </c>
      <c r="T152" s="56">
        <f>'Założenia-dane wejściowe '!U143</f>
        <v>10</v>
      </c>
      <c r="U152" s="56">
        <f>'Założenia-dane wejściowe '!V143</f>
        <v>10</v>
      </c>
      <c r="V152" s="56">
        <f>'Założenia-dane wejściowe '!W143</f>
        <v>10</v>
      </c>
      <c r="W152" s="56">
        <f>'Założenia-dane wejściowe '!X143</f>
        <v>10</v>
      </c>
      <c r="X152" s="56">
        <f>'Założenia-dane wejściowe '!Y143</f>
        <v>10</v>
      </c>
      <c r="Y152" s="56">
        <f>'Założenia-dane wejściowe '!Z143</f>
        <v>10</v>
      </c>
      <c r="Z152" s="56">
        <f>'Założenia-dane wejściowe '!AA143</f>
        <v>10</v>
      </c>
      <c r="AA152" s="56">
        <f>'Założenia-dane wejściowe '!AB143</f>
        <v>10</v>
      </c>
      <c r="AB152" s="56">
        <f>'Założenia-dane wejściowe '!AC143</f>
        <v>10</v>
      </c>
      <c r="AC152" s="56">
        <f>'Założenia-dane wejściowe '!AD143</f>
        <v>10</v>
      </c>
      <c r="AD152" s="56">
        <f>'Założenia-dane wejściowe '!AE143</f>
        <v>10</v>
      </c>
      <c r="AE152" s="56">
        <f>'Założenia-dane wejściowe '!AF143</f>
        <v>10</v>
      </c>
      <c r="AF152" s="56">
        <f>'Założenia-dane wejściowe '!AG143</f>
        <v>10</v>
      </c>
      <c r="AG152" s="56">
        <f>'Założenia-dane wejściowe '!AH143</f>
        <v>10</v>
      </c>
      <c r="AH152" s="56">
        <f>'Założenia-dane wejściowe '!AI143</f>
        <v>10</v>
      </c>
    </row>
    <row r="153" spans="1:34" s="174" customFormat="1" ht="27" x14ac:dyDescent="0.25">
      <c r="A153" s="16" t="s">
        <v>361</v>
      </c>
      <c r="B153" s="7" t="s">
        <v>13</v>
      </c>
      <c r="C153" s="444">
        <f>'Założenia-dane wejściowe '!D144</f>
        <v>0.8</v>
      </c>
      <c r="D153" s="444">
        <f t="shared" ref="D153:AH153" si="83">C153</f>
        <v>0.8</v>
      </c>
      <c r="E153" s="444">
        <f t="shared" si="83"/>
        <v>0.8</v>
      </c>
      <c r="F153" s="444">
        <f t="shared" si="83"/>
        <v>0.8</v>
      </c>
      <c r="G153" s="444">
        <f t="shared" si="83"/>
        <v>0.8</v>
      </c>
      <c r="H153" s="444">
        <f t="shared" si="83"/>
        <v>0.8</v>
      </c>
      <c r="I153" s="444">
        <f t="shared" si="83"/>
        <v>0.8</v>
      </c>
      <c r="J153" s="444">
        <f t="shared" si="83"/>
        <v>0.8</v>
      </c>
      <c r="K153" s="444">
        <f t="shared" si="83"/>
        <v>0.8</v>
      </c>
      <c r="L153" s="444">
        <f t="shared" si="83"/>
        <v>0.8</v>
      </c>
      <c r="M153" s="444">
        <f t="shared" si="83"/>
        <v>0.8</v>
      </c>
      <c r="N153" s="444">
        <f t="shared" si="83"/>
        <v>0.8</v>
      </c>
      <c r="O153" s="444">
        <f t="shared" si="83"/>
        <v>0.8</v>
      </c>
      <c r="P153" s="444">
        <f t="shared" si="83"/>
        <v>0.8</v>
      </c>
      <c r="Q153" s="444">
        <f t="shared" si="83"/>
        <v>0.8</v>
      </c>
      <c r="R153" s="444">
        <f t="shared" si="83"/>
        <v>0.8</v>
      </c>
      <c r="S153" s="444">
        <f t="shared" si="83"/>
        <v>0.8</v>
      </c>
      <c r="T153" s="444">
        <f t="shared" si="83"/>
        <v>0.8</v>
      </c>
      <c r="U153" s="444">
        <f t="shared" si="83"/>
        <v>0.8</v>
      </c>
      <c r="V153" s="444">
        <f t="shared" si="83"/>
        <v>0.8</v>
      </c>
      <c r="W153" s="444">
        <f t="shared" si="83"/>
        <v>0.8</v>
      </c>
      <c r="X153" s="444">
        <f t="shared" si="83"/>
        <v>0.8</v>
      </c>
      <c r="Y153" s="444">
        <f t="shared" si="83"/>
        <v>0.8</v>
      </c>
      <c r="Z153" s="444">
        <f t="shared" si="83"/>
        <v>0.8</v>
      </c>
      <c r="AA153" s="444">
        <f t="shared" si="83"/>
        <v>0.8</v>
      </c>
      <c r="AB153" s="444">
        <f t="shared" si="83"/>
        <v>0.8</v>
      </c>
      <c r="AC153" s="444">
        <f t="shared" si="83"/>
        <v>0.8</v>
      </c>
      <c r="AD153" s="444">
        <f t="shared" si="83"/>
        <v>0.8</v>
      </c>
      <c r="AE153" s="444">
        <f t="shared" si="83"/>
        <v>0.8</v>
      </c>
      <c r="AF153" s="444">
        <f t="shared" si="83"/>
        <v>0.8</v>
      </c>
      <c r="AG153" s="444">
        <f t="shared" si="83"/>
        <v>0.8</v>
      </c>
      <c r="AH153" s="444">
        <f t="shared" si="83"/>
        <v>0.8</v>
      </c>
    </row>
    <row r="154" spans="1:34" s="174" customFormat="1" ht="40.5" x14ac:dyDescent="0.25">
      <c r="A154" s="16" t="s">
        <v>278</v>
      </c>
      <c r="B154" s="7" t="s">
        <v>12</v>
      </c>
      <c r="C154" s="56">
        <f>'Założenia-dane wejściowe '!D145</f>
        <v>0</v>
      </c>
      <c r="D154" s="56">
        <f>'Założenia-dane wejściowe '!E145</f>
        <v>0</v>
      </c>
      <c r="E154" s="56">
        <f>'Założenia-dane wejściowe '!F145</f>
        <v>0</v>
      </c>
      <c r="F154" s="56">
        <f>'Założenia-dane wejściowe '!G145</f>
        <v>0</v>
      </c>
      <c r="G154" s="56">
        <f>'Założenia-dane wejściowe '!H145</f>
        <v>0</v>
      </c>
      <c r="H154" s="56">
        <f>'Założenia-dane wejściowe '!I145</f>
        <v>0</v>
      </c>
      <c r="I154" s="56">
        <f>'Założenia-dane wejściowe '!J145</f>
        <v>0</v>
      </c>
      <c r="J154" s="56">
        <f>'Założenia-dane wejściowe '!K145</f>
        <v>0</v>
      </c>
      <c r="K154" s="56">
        <f>'Założenia-dane wejściowe '!L145</f>
        <v>1200</v>
      </c>
      <c r="L154" s="56">
        <f>'Założenia-dane wejściowe '!M145</f>
        <v>1200</v>
      </c>
      <c r="M154" s="56">
        <f>'Założenia-dane wejściowe '!N145</f>
        <v>1200</v>
      </c>
      <c r="N154" s="56">
        <f>'Założenia-dane wejściowe '!O145</f>
        <v>1200</v>
      </c>
      <c r="O154" s="56">
        <f>'Założenia-dane wejściowe '!P145</f>
        <v>1200</v>
      </c>
      <c r="P154" s="56">
        <f>'Założenia-dane wejściowe '!Q145</f>
        <v>1200</v>
      </c>
      <c r="Q154" s="56">
        <f>'Założenia-dane wejściowe '!R145</f>
        <v>1200</v>
      </c>
      <c r="R154" s="56">
        <f>'Założenia-dane wejściowe '!S145</f>
        <v>1200</v>
      </c>
      <c r="S154" s="56">
        <f>'Założenia-dane wejściowe '!T145</f>
        <v>1200</v>
      </c>
      <c r="T154" s="56">
        <f>'Założenia-dane wejściowe '!U145</f>
        <v>1200</v>
      </c>
      <c r="U154" s="56">
        <f>'Założenia-dane wejściowe '!V145</f>
        <v>1200</v>
      </c>
      <c r="V154" s="56">
        <f>'Założenia-dane wejściowe '!W145</f>
        <v>1200</v>
      </c>
      <c r="W154" s="56">
        <f>'Założenia-dane wejściowe '!X145</f>
        <v>1200</v>
      </c>
      <c r="X154" s="56">
        <f>'Założenia-dane wejściowe '!Y145</f>
        <v>1200</v>
      </c>
      <c r="Y154" s="56">
        <f>'Założenia-dane wejściowe '!Z145</f>
        <v>1200</v>
      </c>
      <c r="Z154" s="56">
        <f>'Założenia-dane wejściowe '!AA145</f>
        <v>1200</v>
      </c>
      <c r="AA154" s="56">
        <f>'Założenia-dane wejściowe '!AB145</f>
        <v>1200</v>
      </c>
      <c r="AB154" s="56">
        <f>'Założenia-dane wejściowe '!AC145</f>
        <v>1200</v>
      </c>
      <c r="AC154" s="56">
        <f>'Założenia-dane wejściowe '!AD145</f>
        <v>1200</v>
      </c>
      <c r="AD154" s="56">
        <f>'Założenia-dane wejściowe '!AE145</f>
        <v>1200</v>
      </c>
      <c r="AE154" s="56">
        <f>'Założenia-dane wejściowe '!AF145</f>
        <v>1200</v>
      </c>
      <c r="AF154" s="56">
        <f>'Założenia-dane wejściowe '!AG145</f>
        <v>1200</v>
      </c>
      <c r="AG154" s="56">
        <f>'Założenia-dane wejściowe '!AH145</f>
        <v>1200</v>
      </c>
      <c r="AH154" s="56">
        <f>'Założenia-dane wejściowe '!AI145</f>
        <v>1200</v>
      </c>
    </row>
    <row r="155" spans="1:34" s="174" customFormat="1" ht="27" x14ac:dyDescent="0.25">
      <c r="A155" s="16" t="s">
        <v>273</v>
      </c>
      <c r="B155" s="200" t="s">
        <v>13</v>
      </c>
      <c r="C155" s="444">
        <f>'Założenia-dane wejściowe '!D146</f>
        <v>0.17</v>
      </c>
      <c r="D155" s="450">
        <f t="shared" ref="D155:AH155" si="84">C155</f>
        <v>0.17</v>
      </c>
      <c r="E155" s="444">
        <f t="shared" si="84"/>
        <v>0.17</v>
      </c>
      <c r="F155" s="444">
        <f t="shared" si="84"/>
        <v>0.17</v>
      </c>
      <c r="G155" s="444">
        <f t="shared" si="84"/>
        <v>0.17</v>
      </c>
      <c r="H155" s="444">
        <f t="shared" si="84"/>
        <v>0.17</v>
      </c>
      <c r="I155" s="444">
        <f t="shared" si="84"/>
        <v>0.17</v>
      </c>
      <c r="J155" s="444">
        <f t="shared" si="84"/>
        <v>0.17</v>
      </c>
      <c r="K155" s="444">
        <f t="shared" si="84"/>
        <v>0.17</v>
      </c>
      <c r="L155" s="444">
        <f t="shared" si="84"/>
        <v>0.17</v>
      </c>
      <c r="M155" s="444">
        <f t="shared" si="84"/>
        <v>0.17</v>
      </c>
      <c r="N155" s="444">
        <f t="shared" si="84"/>
        <v>0.17</v>
      </c>
      <c r="O155" s="444">
        <f t="shared" si="84"/>
        <v>0.17</v>
      </c>
      <c r="P155" s="444">
        <f t="shared" si="84"/>
        <v>0.17</v>
      </c>
      <c r="Q155" s="444">
        <f t="shared" si="84"/>
        <v>0.17</v>
      </c>
      <c r="R155" s="444">
        <f t="shared" si="84"/>
        <v>0.17</v>
      </c>
      <c r="S155" s="444">
        <f t="shared" si="84"/>
        <v>0.17</v>
      </c>
      <c r="T155" s="444">
        <f t="shared" si="84"/>
        <v>0.17</v>
      </c>
      <c r="U155" s="444">
        <f t="shared" si="84"/>
        <v>0.17</v>
      </c>
      <c r="V155" s="444">
        <f t="shared" si="84"/>
        <v>0.17</v>
      </c>
      <c r="W155" s="444">
        <f t="shared" si="84"/>
        <v>0.17</v>
      </c>
      <c r="X155" s="444">
        <f t="shared" si="84"/>
        <v>0.17</v>
      </c>
      <c r="Y155" s="444">
        <f t="shared" si="84"/>
        <v>0.17</v>
      </c>
      <c r="Z155" s="444">
        <f t="shared" si="84"/>
        <v>0.17</v>
      </c>
      <c r="AA155" s="444">
        <f t="shared" si="84"/>
        <v>0.17</v>
      </c>
      <c r="AB155" s="444">
        <f t="shared" si="84"/>
        <v>0.17</v>
      </c>
      <c r="AC155" s="444">
        <f t="shared" si="84"/>
        <v>0.17</v>
      </c>
      <c r="AD155" s="444">
        <f t="shared" si="84"/>
        <v>0.17</v>
      </c>
      <c r="AE155" s="444">
        <f t="shared" si="84"/>
        <v>0.17</v>
      </c>
      <c r="AF155" s="444">
        <f t="shared" si="84"/>
        <v>0.17</v>
      </c>
      <c r="AG155" s="444">
        <f t="shared" si="84"/>
        <v>0.17</v>
      </c>
      <c r="AH155" s="444">
        <f t="shared" si="84"/>
        <v>0.17</v>
      </c>
    </row>
    <row r="156" spans="1:34" s="174" customFormat="1" ht="13.5" x14ac:dyDescent="0.25">
      <c r="A156" s="201" t="s">
        <v>337</v>
      </c>
      <c r="B156" s="202" t="s">
        <v>13</v>
      </c>
      <c r="C156" s="203">
        <f>C157+C158+C159</f>
        <v>0</v>
      </c>
      <c r="D156" s="203">
        <f>D157+D158+D159</f>
        <v>0</v>
      </c>
      <c r="E156" s="203">
        <f>E157+E158+E159</f>
        <v>0</v>
      </c>
      <c r="F156" s="131">
        <f>F157+F158+F159</f>
        <v>0</v>
      </c>
      <c r="G156" s="131">
        <f t="shared" ref="G156:AG156" si="85">G157+G158+G159</f>
        <v>0</v>
      </c>
      <c r="H156" s="131">
        <f t="shared" si="85"/>
        <v>0</v>
      </c>
      <c r="I156" s="131">
        <f t="shared" si="85"/>
        <v>0</v>
      </c>
      <c r="J156" s="131">
        <f t="shared" si="85"/>
        <v>0</v>
      </c>
      <c r="K156" s="131">
        <f t="shared" si="85"/>
        <v>5179.8919999999998</v>
      </c>
      <c r="L156" s="131">
        <f t="shared" si="85"/>
        <v>5179.8919999999998</v>
      </c>
      <c r="M156" s="131">
        <f t="shared" si="85"/>
        <v>5179.8919999999998</v>
      </c>
      <c r="N156" s="131">
        <f t="shared" si="85"/>
        <v>5179.8919999999998</v>
      </c>
      <c r="O156" s="131">
        <f t="shared" si="85"/>
        <v>5179.8919999999998</v>
      </c>
      <c r="P156" s="131">
        <f t="shared" si="85"/>
        <v>5179.8919999999998</v>
      </c>
      <c r="Q156" s="131">
        <f t="shared" si="85"/>
        <v>5179.8919999999998</v>
      </c>
      <c r="R156" s="131">
        <f t="shared" si="85"/>
        <v>5179.8919999999998</v>
      </c>
      <c r="S156" s="131">
        <f t="shared" si="85"/>
        <v>5179.8919999999998</v>
      </c>
      <c r="T156" s="131">
        <f t="shared" si="85"/>
        <v>5179.8919999999998</v>
      </c>
      <c r="U156" s="131">
        <f t="shared" si="85"/>
        <v>5179.8919999999998</v>
      </c>
      <c r="V156" s="131">
        <f t="shared" si="85"/>
        <v>5179.8919999999998</v>
      </c>
      <c r="W156" s="131">
        <f t="shared" si="85"/>
        <v>5179.8919999999998</v>
      </c>
      <c r="X156" s="131">
        <f t="shared" si="85"/>
        <v>5179.8919999999998</v>
      </c>
      <c r="Y156" s="131">
        <f t="shared" si="85"/>
        <v>5179.8919999999998</v>
      </c>
      <c r="Z156" s="131">
        <f t="shared" si="85"/>
        <v>5179.8919999999998</v>
      </c>
      <c r="AA156" s="131">
        <f t="shared" si="85"/>
        <v>5179.8919999999998</v>
      </c>
      <c r="AB156" s="131">
        <f t="shared" si="85"/>
        <v>5179.8919999999998</v>
      </c>
      <c r="AC156" s="131">
        <f t="shared" si="85"/>
        <v>5179.8919999999998</v>
      </c>
      <c r="AD156" s="131">
        <f t="shared" si="85"/>
        <v>5179.8919999999998</v>
      </c>
      <c r="AE156" s="131">
        <f t="shared" si="85"/>
        <v>5179.8919999999998</v>
      </c>
      <c r="AF156" s="131">
        <f t="shared" si="85"/>
        <v>5179.8919999999998</v>
      </c>
      <c r="AG156" s="131">
        <f t="shared" si="85"/>
        <v>5179.8919999999998</v>
      </c>
      <c r="AH156" s="131">
        <f>AH157+AH158+AH159</f>
        <v>5179.8919999999998</v>
      </c>
    </row>
    <row r="157" spans="1:34" s="174" customFormat="1" ht="13.5" x14ac:dyDescent="0.25">
      <c r="A157" s="204" t="s">
        <v>73</v>
      </c>
      <c r="B157" s="200" t="s">
        <v>13</v>
      </c>
      <c r="C157" s="205">
        <f t="shared" ref="C157:AG157" si="86">C149*C150*C151</f>
        <v>0</v>
      </c>
      <c r="D157" s="205">
        <f t="shared" si="86"/>
        <v>0</v>
      </c>
      <c r="E157" s="205">
        <f t="shared" si="86"/>
        <v>0</v>
      </c>
      <c r="F157" s="205">
        <f t="shared" si="86"/>
        <v>0</v>
      </c>
      <c r="G157" s="205">
        <f t="shared" si="86"/>
        <v>0</v>
      </c>
      <c r="H157" s="205">
        <f t="shared" si="86"/>
        <v>0</v>
      </c>
      <c r="I157" s="205">
        <f t="shared" si="86"/>
        <v>0</v>
      </c>
      <c r="J157" s="205">
        <f t="shared" si="86"/>
        <v>0</v>
      </c>
      <c r="K157" s="205">
        <f t="shared" si="86"/>
        <v>4967.8919999999998</v>
      </c>
      <c r="L157" s="205">
        <f t="shared" si="86"/>
        <v>4967.8919999999998</v>
      </c>
      <c r="M157" s="205">
        <f t="shared" si="86"/>
        <v>4967.8919999999998</v>
      </c>
      <c r="N157" s="205">
        <f t="shared" si="86"/>
        <v>4967.8919999999998</v>
      </c>
      <c r="O157" s="205">
        <f t="shared" si="86"/>
        <v>4967.8919999999998</v>
      </c>
      <c r="P157" s="205">
        <f t="shared" si="86"/>
        <v>4967.8919999999998</v>
      </c>
      <c r="Q157" s="205">
        <f t="shared" si="86"/>
        <v>4967.8919999999998</v>
      </c>
      <c r="R157" s="205">
        <f t="shared" si="86"/>
        <v>4967.8919999999998</v>
      </c>
      <c r="S157" s="205">
        <f t="shared" si="86"/>
        <v>4967.8919999999998</v>
      </c>
      <c r="T157" s="205">
        <f t="shared" si="86"/>
        <v>4967.8919999999998</v>
      </c>
      <c r="U157" s="205">
        <f t="shared" si="86"/>
        <v>4967.8919999999998</v>
      </c>
      <c r="V157" s="205">
        <f t="shared" si="86"/>
        <v>4967.8919999999998</v>
      </c>
      <c r="W157" s="205">
        <f t="shared" si="86"/>
        <v>4967.8919999999998</v>
      </c>
      <c r="X157" s="205">
        <f t="shared" si="86"/>
        <v>4967.8919999999998</v>
      </c>
      <c r="Y157" s="205">
        <f t="shared" si="86"/>
        <v>4967.8919999999998</v>
      </c>
      <c r="Z157" s="205">
        <f t="shared" si="86"/>
        <v>4967.8919999999998</v>
      </c>
      <c r="AA157" s="205">
        <f t="shared" si="86"/>
        <v>4967.8919999999998</v>
      </c>
      <c r="AB157" s="205">
        <f t="shared" si="86"/>
        <v>4967.8919999999998</v>
      </c>
      <c r="AC157" s="205">
        <f t="shared" si="86"/>
        <v>4967.8919999999998</v>
      </c>
      <c r="AD157" s="205">
        <f t="shared" si="86"/>
        <v>4967.8919999999998</v>
      </c>
      <c r="AE157" s="205">
        <f t="shared" si="86"/>
        <v>4967.8919999999998</v>
      </c>
      <c r="AF157" s="205">
        <f t="shared" si="86"/>
        <v>4967.8919999999998</v>
      </c>
      <c r="AG157" s="205">
        <f t="shared" si="86"/>
        <v>4967.8919999999998</v>
      </c>
      <c r="AH157" s="205">
        <f>AH149*AH150*AH151</f>
        <v>4967.8919999999998</v>
      </c>
    </row>
    <row r="158" spans="1:34" s="174" customFormat="1" ht="13.5" x14ac:dyDescent="0.25">
      <c r="A158" s="204" t="s">
        <v>74</v>
      </c>
      <c r="B158" s="200" t="s">
        <v>13</v>
      </c>
      <c r="C158" s="205">
        <f>C152*C153</f>
        <v>0</v>
      </c>
      <c r="D158" s="205">
        <f>D152*D153</f>
        <v>0</v>
      </c>
      <c r="E158" s="205">
        <f>E152*E153</f>
        <v>0</v>
      </c>
      <c r="F158" s="130">
        <f>F152*F153</f>
        <v>0</v>
      </c>
      <c r="G158" s="130">
        <f t="shared" ref="G158:AG158" si="87">G152*G153</f>
        <v>0</v>
      </c>
      <c r="H158" s="130">
        <f t="shared" si="87"/>
        <v>0</v>
      </c>
      <c r="I158" s="130">
        <f t="shared" si="87"/>
        <v>0</v>
      </c>
      <c r="J158" s="130">
        <f t="shared" si="87"/>
        <v>0</v>
      </c>
      <c r="K158" s="130">
        <f t="shared" si="87"/>
        <v>8</v>
      </c>
      <c r="L158" s="130">
        <f t="shared" si="87"/>
        <v>8</v>
      </c>
      <c r="M158" s="130">
        <f t="shared" si="87"/>
        <v>8</v>
      </c>
      <c r="N158" s="130">
        <f t="shared" si="87"/>
        <v>8</v>
      </c>
      <c r="O158" s="130">
        <f t="shared" si="87"/>
        <v>8</v>
      </c>
      <c r="P158" s="130">
        <f t="shared" si="87"/>
        <v>8</v>
      </c>
      <c r="Q158" s="130">
        <f t="shared" si="87"/>
        <v>8</v>
      </c>
      <c r="R158" s="130">
        <f t="shared" si="87"/>
        <v>8</v>
      </c>
      <c r="S158" s="130">
        <f t="shared" si="87"/>
        <v>8</v>
      </c>
      <c r="T158" s="130">
        <f t="shared" si="87"/>
        <v>8</v>
      </c>
      <c r="U158" s="130">
        <f t="shared" si="87"/>
        <v>8</v>
      </c>
      <c r="V158" s="130">
        <f t="shared" si="87"/>
        <v>8</v>
      </c>
      <c r="W158" s="130">
        <f t="shared" si="87"/>
        <v>8</v>
      </c>
      <c r="X158" s="130">
        <f t="shared" si="87"/>
        <v>8</v>
      </c>
      <c r="Y158" s="130">
        <f t="shared" si="87"/>
        <v>8</v>
      </c>
      <c r="Z158" s="130">
        <f t="shared" si="87"/>
        <v>8</v>
      </c>
      <c r="AA158" s="130">
        <f t="shared" si="87"/>
        <v>8</v>
      </c>
      <c r="AB158" s="130">
        <f t="shared" si="87"/>
        <v>8</v>
      </c>
      <c r="AC158" s="130">
        <f t="shared" si="87"/>
        <v>8</v>
      </c>
      <c r="AD158" s="130">
        <f t="shared" si="87"/>
        <v>8</v>
      </c>
      <c r="AE158" s="130">
        <f t="shared" si="87"/>
        <v>8</v>
      </c>
      <c r="AF158" s="130">
        <f t="shared" si="87"/>
        <v>8</v>
      </c>
      <c r="AG158" s="130">
        <f t="shared" si="87"/>
        <v>8</v>
      </c>
      <c r="AH158" s="130">
        <f>AH152*AH153</f>
        <v>8</v>
      </c>
    </row>
    <row r="159" spans="1:34" s="174" customFormat="1" ht="13.5" x14ac:dyDescent="0.25">
      <c r="A159" s="204" t="s">
        <v>75</v>
      </c>
      <c r="B159" s="200" t="s">
        <v>13</v>
      </c>
      <c r="C159" s="205">
        <f>C154*C155</f>
        <v>0</v>
      </c>
      <c r="D159" s="205">
        <f>D154*D155</f>
        <v>0</v>
      </c>
      <c r="E159" s="205">
        <f>E154*E155</f>
        <v>0</v>
      </c>
      <c r="F159" s="130">
        <f>F154*F155</f>
        <v>0</v>
      </c>
      <c r="G159" s="130">
        <f t="shared" ref="G159:AG159" si="88">G154*G155</f>
        <v>0</v>
      </c>
      <c r="H159" s="130">
        <f t="shared" si="88"/>
        <v>0</v>
      </c>
      <c r="I159" s="130">
        <f t="shared" si="88"/>
        <v>0</v>
      </c>
      <c r="J159" s="130">
        <f t="shared" si="88"/>
        <v>0</v>
      </c>
      <c r="K159" s="130">
        <f t="shared" si="88"/>
        <v>204.00000000000003</v>
      </c>
      <c r="L159" s="130">
        <f t="shared" si="88"/>
        <v>204.00000000000003</v>
      </c>
      <c r="M159" s="130">
        <f t="shared" si="88"/>
        <v>204.00000000000003</v>
      </c>
      <c r="N159" s="130">
        <f t="shared" si="88"/>
        <v>204.00000000000003</v>
      </c>
      <c r="O159" s="130">
        <f t="shared" si="88"/>
        <v>204.00000000000003</v>
      </c>
      <c r="P159" s="130">
        <f t="shared" si="88"/>
        <v>204.00000000000003</v>
      </c>
      <c r="Q159" s="130">
        <f t="shared" si="88"/>
        <v>204.00000000000003</v>
      </c>
      <c r="R159" s="130">
        <f t="shared" si="88"/>
        <v>204.00000000000003</v>
      </c>
      <c r="S159" s="130">
        <f t="shared" si="88"/>
        <v>204.00000000000003</v>
      </c>
      <c r="T159" s="130">
        <f t="shared" si="88"/>
        <v>204.00000000000003</v>
      </c>
      <c r="U159" s="130">
        <f t="shared" si="88"/>
        <v>204.00000000000003</v>
      </c>
      <c r="V159" s="130">
        <f t="shared" si="88"/>
        <v>204.00000000000003</v>
      </c>
      <c r="W159" s="130">
        <f t="shared" si="88"/>
        <v>204.00000000000003</v>
      </c>
      <c r="X159" s="130">
        <f t="shared" si="88"/>
        <v>204.00000000000003</v>
      </c>
      <c r="Y159" s="130">
        <f t="shared" si="88"/>
        <v>204.00000000000003</v>
      </c>
      <c r="Z159" s="130">
        <f t="shared" si="88"/>
        <v>204.00000000000003</v>
      </c>
      <c r="AA159" s="130">
        <f t="shared" si="88"/>
        <v>204.00000000000003</v>
      </c>
      <c r="AB159" s="130">
        <f t="shared" si="88"/>
        <v>204.00000000000003</v>
      </c>
      <c r="AC159" s="130">
        <f t="shared" si="88"/>
        <v>204.00000000000003</v>
      </c>
      <c r="AD159" s="130">
        <f t="shared" si="88"/>
        <v>204.00000000000003</v>
      </c>
      <c r="AE159" s="130">
        <f t="shared" si="88"/>
        <v>204.00000000000003</v>
      </c>
      <c r="AF159" s="130">
        <f t="shared" si="88"/>
        <v>204.00000000000003</v>
      </c>
      <c r="AG159" s="130">
        <f t="shared" si="88"/>
        <v>204.00000000000003</v>
      </c>
      <c r="AH159" s="130">
        <f>AH154*AH155</f>
        <v>204.00000000000003</v>
      </c>
    </row>
    <row r="160" spans="1:34" s="174" customFormat="1" ht="13.5" x14ac:dyDescent="0.25">
      <c r="A160" s="201" t="s">
        <v>338</v>
      </c>
      <c r="B160" s="202" t="s">
        <v>77</v>
      </c>
      <c r="C160" s="206">
        <f>C161+C162+C163</f>
        <v>0</v>
      </c>
      <c r="D160" s="206">
        <f>D161+D162+D163</f>
        <v>0</v>
      </c>
      <c r="E160" s="206">
        <f>E161+E162+E163</f>
        <v>0</v>
      </c>
      <c r="F160" s="119">
        <f>F161+F162+F163</f>
        <v>0</v>
      </c>
      <c r="G160" s="119">
        <f t="shared" ref="G160:AG160" si="89">G161+G162+G163</f>
        <v>0</v>
      </c>
      <c r="H160" s="119">
        <f t="shared" si="89"/>
        <v>0</v>
      </c>
      <c r="I160" s="119">
        <f t="shared" si="89"/>
        <v>0</v>
      </c>
      <c r="J160" s="119">
        <f t="shared" si="89"/>
        <v>0</v>
      </c>
      <c r="K160" s="119">
        <f t="shared" si="89"/>
        <v>1890660.5799999998</v>
      </c>
      <c r="L160" s="119">
        <f t="shared" si="89"/>
        <v>1890660.5799999998</v>
      </c>
      <c r="M160" s="119">
        <f t="shared" si="89"/>
        <v>1890660.5799999998</v>
      </c>
      <c r="N160" s="119">
        <f t="shared" si="89"/>
        <v>1890660.5799999998</v>
      </c>
      <c r="O160" s="119">
        <f t="shared" si="89"/>
        <v>1890660.5799999998</v>
      </c>
      <c r="P160" s="119">
        <f t="shared" si="89"/>
        <v>1890660.5799999998</v>
      </c>
      <c r="Q160" s="119">
        <f t="shared" si="89"/>
        <v>1890660.5799999998</v>
      </c>
      <c r="R160" s="119">
        <f t="shared" si="89"/>
        <v>1890660.5799999998</v>
      </c>
      <c r="S160" s="119">
        <f t="shared" si="89"/>
        <v>1890660.5799999998</v>
      </c>
      <c r="T160" s="119">
        <f t="shared" si="89"/>
        <v>1890660.5799999998</v>
      </c>
      <c r="U160" s="119">
        <f t="shared" si="89"/>
        <v>1890660.5799999998</v>
      </c>
      <c r="V160" s="119">
        <f t="shared" si="89"/>
        <v>1890660.5799999998</v>
      </c>
      <c r="W160" s="119">
        <f t="shared" si="89"/>
        <v>1890660.5799999998</v>
      </c>
      <c r="X160" s="119">
        <f t="shared" si="89"/>
        <v>1890660.5799999998</v>
      </c>
      <c r="Y160" s="119">
        <f t="shared" si="89"/>
        <v>1890660.5799999998</v>
      </c>
      <c r="Z160" s="119">
        <f t="shared" si="89"/>
        <v>1890660.5799999998</v>
      </c>
      <c r="AA160" s="119">
        <f t="shared" si="89"/>
        <v>1890660.5799999998</v>
      </c>
      <c r="AB160" s="119">
        <f t="shared" si="89"/>
        <v>1890660.5799999998</v>
      </c>
      <c r="AC160" s="119">
        <f t="shared" si="89"/>
        <v>1890660.5799999998</v>
      </c>
      <c r="AD160" s="119">
        <f t="shared" si="89"/>
        <v>1890660.5799999998</v>
      </c>
      <c r="AE160" s="119">
        <f t="shared" si="89"/>
        <v>1890660.5799999998</v>
      </c>
      <c r="AF160" s="119">
        <f t="shared" si="89"/>
        <v>1890660.5799999998</v>
      </c>
      <c r="AG160" s="119">
        <f t="shared" si="89"/>
        <v>1890660.5799999998</v>
      </c>
      <c r="AH160" s="119">
        <f>AH161+AH162+AH163</f>
        <v>1890660.5799999998</v>
      </c>
    </row>
    <row r="161" spans="1:34" s="174" customFormat="1" ht="13.5" x14ac:dyDescent="0.25">
      <c r="A161" s="204" t="s">
        <v>73</v>
      </c>
      <c r="B161" s="200" t="s">
        <v>77</v>
      </c>
      <c r="C161" s="207">
        <f>C157*$B$124</f>
        <v>0</v>
      </c>
      <c r="D161" s="207">
        <f t="shared" ref="D161:AG161" si="90">D157*$B$124</f>
        <v>0</v>
      </c>
      <c r="E161" s="207">
        <f t="shared" si="90"/>
        <v>0</v>
      </c>
      <c r="F161" s="207">
        <f t="shared" si="90"/>
        <v>0</v>
      </c>
      <c r="G161" s="207">
        <f t="shared" si="90"/>
        <v>0</v>
      </c>
      <c r="H161" s="207">
        <f t="shared" si="90"/>
        <v>0</v>
      </c>
      <c r="I161" s="207">
        <f t="shared" si="90"/>
        <v>0</v>
      </c>
      <c r="J161" s="207">
        <f t="shared" si="90"/>
        <v>0</v>
      </c>
      <c r="K161" s="207">
        <f t="shared" si="90"/>
        <v>1813280.5799999998</v>
      </c>
      <c r="L161" s="207">
        <f t="shared" si="90"/>
        <v>1813280.5799999998</v>
      </c>
      <c r="M161" s="207">
        <f t="shared" si="90"/>
        <v>1813280.5799999998</v>
      </c>
      <c r="N161" s="207">
        <f t="shared" si="90"/>
        <v>1813280.5799999998</v>
      </c>
      <c r="O161" s="207">
        <f t="shared" si="90"/>
        <v>1813280.5799999998</v>
      </c>
      <c r="P161" s="207">
        <f t="shared" si="90"/>
        <v>1813280.5799999998</v>
      </c>
      <c r="Q161" s="207">
        <f t="shared" si="90"/>
        <v>1813280.5799999998</v>
      </c>
      <c r="R161" s="207">
        <f t="shared" si="90"/>
        <v>1813280.5799999998</v>
      </c>
      <c r="S161" s="207">
        <f t="shared" si="90"/>
        <v>1813280.5799999998</v>
      </c>
      <c r="T161" s="207">
        <f t="shared" si="90"/>
        <v>1813280.5799999998</v>
      </c>
      <c r="U161" s="207">
        <f t="shared" si="90"/>
        <v>1813280.5799999998</v>
      </c>
      <c r="V161" s="207">
        <f t="shared" si="90"/>
        <v>1813280.5799999998</v>
      </c>
      <c r="W161" s="207">
        <f t="shared" si="90"/>
        <v>1813280.5799999998</v>
      </c>
      <c r="X161" s="207">
        <f t="shared" si="90"/>
        <v>1813280.5799999998</v>
      </c>
      <c r="Y161" s="207">
        <f t="shared" si="90"/>
        <v>1813280.5799999998</v>
      </c>
      <c r="Z161" s="207">
        <f t="shared" si="90"/>
        <v>1813280.5799999998</v>
      </c>
      <c r="AA161" s="207">
        <f t="shared" si="90"/>
        <v>1813280.5799999998</v>
      </c>
      <c r="AB161" s="207">
        <f t="shared" si="90"/>
        <v>1813280.5799999998</v>
      </c>
      <c r="AC161" s="207">
        <f t="shared" si="90"/>
        <v>1813280.5799999998</v>
      </c>
      <c r="AD161" s="207">
        <f t="shared" si="90"/>
        <v>1813280.5799999998</v>
      </c>
      <c r="AE161" s="207">
        <f t="shared" si="90"/>
        <v>1813280.5799999998</v>
      </c>
      <c r="AF161" s="207">
        <f t="shared" si="90"/>
        <v>1813280.5799999998</v>
      </c>
      <c r="AG161" s="207">
        <f t="shared" si="90"/>
        <v>1813280.5799999998</v>
      </c>
      <c r="AH161" s="207">
        <f>AH157*$B$124</f>
        <v>1813280.5799999998</v>
      </c>
    </row>
    <row r="162" spans="1:34" s="174" customFormat="1" ht="13.5" x14ac:dyDescent="0.25">
      <c r="A162" s="204" t="s">
        <v>74</v>
      </c>
      <c r="B162" s="200" t="s">
        <v>77</v>
      </c>
      <c r="C162" s="207">
        <f t="shared" ref="C162:AG162" si="91">C158*$B$124</f>
        <v>0</v>
      </c>
      <c r="D162" s="207">
        <f t="shared" si="91"/>
        <v>0</v>
      </c>
      <c r="E162" s="207">
        <f t="shared" si="91"/>
        <v>0</v>
      </c>
      <c r="F162" s="207">
        <f t="shared" si="91"/>
        <v>0</v>
      </c>
      <c r="G162" s="207">
        <f t="shared" si="91"/>
        <v>0</v>
      </c>
      <c r="H162" s="207">
        <f t="shared" si="91"/>
        <v>0</v>
      </c>
      <c r="I162" s="207">
        <f t="shared" si="91"/>
        <v>0</v>
      </c>
      <c r="J162" s="207">
        <f t="shared" si="91"/>
        <v>0</v>
      </c>
      <c r="K162" s="207">
        <f t="shared" si="91"/>
        <v>2920</v>
      </c>
      <c r="L162" s="207">
        <f t="shared" si="91"/>
        <v>2920</v>
      </c>
      <c r="M162" s="207">
        <f t="shared" si="91"/>
        <v>2920</v>
      </c>
      <c r="N162" s="207">
        <f t="shared" si="91"/>
        <v>2920</v>
      </c>
      <c r="O162" s="207">
        <f t="shared" si="91"/>
        <v>2920</v>
      </c>
      <c r="P162" s="207">
        <f t="shared" si="91"/>
        <v>2920</v>
      </c>
      <c r="Q162" s="207">
        <f t="shared" si="91"/>
        <v>2920</v>
      </c>
      <c r="R162" s="207">
        <f t="shared" si="91"/>
        <v>2920</v>
      </c>
      <c r="S162" s="207">
        <f t="shared" si="91"/>
        <v>2920</v>
      </c>
      <c r="T162" s="207">
        <f t="shared" si="91"/>
        <v>2920</v>
      </c>
      <c r="U162" s="207">
        <f t="shared" si="91"/>
        <v>2920</v>
      </c>
      <c r="V162" s="207">
        <f t="shared" si="91"/>
        <v>2920</v>
      </c>
      <c r="W162" s="207">
        <f t="shared" si="91"/>
        <v>2920</v>
      </c>
      <c r="X162" s="207">
        <f t="shared" si="91"/>
        <v>2920</v>
      </c>
      <c r="Y162" s="207">
        <f t="shared" si="91"/>
        <v>2920</v>
      </c>
      <c r="Z162" s="207">
        <f t="shared" si="91"/>
        <v>2920</v>
      </c>
      <c r="AA162" s="207">
        <f t="shared" si="91"/>
        <v>2920</v>
      </c>
      <c r="AB162" s="207">
        <f t="shared" si="91"/>
        <v>2920</v>
      </c>
      <c r="AC162" s="207">
        <f t="shared" si="91"/>
        <v>2920</v>
      </c>
      <c r="AD162" s="207">
        <f t="shared" si="91"/>
        <v>2920</v>
      </c>
      <c r="AE162" s="207">
        <f t="shared" si="91"/>
        <v>2920</v>
      </c>
      <c r="AF162" s="207">
        <f t="shared" si="91"/>
        <v>2920</v>
      </c>
      <c r="AG162" s="207">
        <f t="shared" si="91"/>
        <v>2920</v>
      </c>
      <c r="AH162" s="207">
        <f>AH158*$B$124</f>
        <v>2920</v>
      </c>
    </row>
    <row r="163" spans="1:34" s="174" customFormat="1" ht="13.5" x14ac:dyDescent="0.25">
      <c r="A163" s="204" t="s">
        <v>75</v>
      </c>
      <c r="B163" s="200" t="s">
        <v>77</v>
      </c>
      <c r="C163" s="207">
        <f t="shared" ref="C163:AG163" si="92">C159*$B$124</f>
        <v>0</v>
      </c>
      <c r="D163" s="207">
        <f t="shared" si="92"/>
        <v>0</v>
      </c>
      <c r="E163" s="207">
        <f t="shared" si="92"/>
        <v>0</v>
      </c>
      <c r="F163" s="207">
        <f t="shared" si="92"/>
        <v>0</v>
      </c>
      <c r="G163" s="207">
        <f t="shared" si="92"/>
        <v>0</v>
      </c>
      <c r="H163" s="207">
        <f t="shared" si="92"/>
        <v>0</v>
      </c>
      <c r="I163" s="207">
        <f t="shared" si="92"/>
        <v>0</v>
      </c>
      <c r="J163" s="207">
        <f t="shared" si="92"/>
        <v>0</v>
      </c>
      <c r="K163" s="207">
        <f t="shared" si="92"/>
        <v>74460.000000000015</v>
      </c>
      <c r="L163" s="207">
        <f t="shared" si="92"/>
        <v>74460.000000000015</v>
      </c>
      <c r="M163" s="207">
        <f t="shared" si="92"/>
        <v>74460.000000000015</v>
      </c>
      <c r="N163" s="207">
        <f t="shared" si="92"/>
        <v>74460.000000000015</v>
      </c>
      <c r="O163" s="207">
        <f t="shared" si="92"/>
        <v>74460.000000000015</v>
      </c>
      <c r="P163" s="207">
        <f t="shared" si="92"/>
        <v>74460.000000000015</v>
      </c>
      <c r="Q163" s="207">
        <f t="shared" si="92"/>
        <v>74460.000000000015</v>
      </c>
      <c r="R163" s="207">
        <f t="shared" si="92"/>
        <v>74460.000000000015</v>
      </c>
      <c r="S163" s="207">
        <f t="shared" si="92"/>
        <v>74460.000000000015</v>
      </c>
      <c r="T163" s="207">
        <f t="shared" si="92"/>
        <v>74460.000000000015</v>
      </c>
      <c r="U163" s="207">
        <f t="shared" si="92"/>
        <v>74460.000000000015</v>
      </c>
      <c r="V163" s="207">
        <f t="shared" si="92"/>
        <v>74460.000000000015</v>
      </c>
      <c r="W163" s="207">
        <f t="shared" si="92"/>
        <v>74460.000000000015</v>
      </c>
      <c r="X163" s="207">
        <f t="shared" si="92"/>
        <v>74460.000000000015</v>
      </c>
      <c r="Y163" s="207">
        <f t="shared" si="92"/>
        <v>74460.000000000015</v>
      </c>
      <c r="Z163" s="207">
        <f t="shared" si="92"/>
        <v>74460.000000000015</v>
      </c>
      <c r="AA163" s="207">
        <f t="shared" si="92"/>
        <v>74460.000000000015</v>
      </c>
      <c r="AB163" s="207">
        <f t="shared" si="92"/>
        <v>74460.000000000015</v>
      </c>
      <c r="AC163" s="207">
        <f t="shared" si="92"/>
        <v>74460.000000000015</v>
      </c>
      <c r="AD163" s="207">
        <f t="shared" si="92"/>
        <v>74460.000000000015</v>
      </c>
      <c r="AE163" s="207">
        <f t="shared" si="92"/>
        <v>74460.000000000015</v>
      </c>
      <c r="AF163" s="207">
        <f t="shared" si="92"/>
        <v>74460.000000000015</v>
      </c>
      <c r="AG163" s="207">
        <f t="shared" si="92"/>
        <v>74460.000000000015</v>
      </c>
      <c r="AH163" s="207">
        <f>AH159*$B$124</f>
        <v>74460.000000000015</v>
      </c>
    </row>
    <row r="164" spans="1:34" s="140" customFormat="1" ht="13.5" x14ac:dyDescent="0.2">
      <c r="A164" s="148" t="s">
        <v>78</v>
      </c>
      <c r="B164" s="3">
        <v>365</v>
      </c>
    </row>
    <row r="165" spans="1:34" s="140" customFormat="1" ht="13.5" x14ac:dyDescent="0.2">
      <c r="A165" s="148" t="s">
        <v>79</v>
      </c>
      <c r="B165" s="3">
        <v>30</v>
      </c>
    </row>
    <row r="166" spans="1:34" hidden="1" x14ac:dyDescent="0.2">
      <c r="A166" s="239"/>
      <c r="B166" s="240"/>
    </row>
    <row r="167" spans="1:34" ht="15.75" x14ac:dyDescent="0.2">
      <c r="A167" s="233" t="s">
        <v>407</v>
      </c>
      <c r="B167" s="240"/>
    </row>
    <row r="168" spans="1:34" s="140" customFormat="1" ht="13.5" x14ac:dyDescent="0.25">
      <c r="A168" s="184" t="s">
        <v>81</v>
      </c>
      <c r="B168" s="187">
        <f>C128</f>
        <v>2013</v>
      </c>
      <c r="C168" s="187">
        <f>B168+1</f>
        <v>2014</v>
      </c>
      <c r="D168" s="187">
        <f t="shared" ref="D168:AG168" si="93">C168+1</f>
        <v>2015</v>
      </c>
      <c r="E168" s="187">
        <f t="shared" si="93"/>
        <v>2016</v>
      </c>
      <c r="F168" s="187">
        <f t="shared" si="93"/>
        <v>2017</v>
      </c>
      <c r="G168" s="187">
        <f t="shared" si="93"/>
        <v>2018</v>
      </c>
      <c r="H168" s="187">
        <f t="shared" si="93"/>
        <v>2019</v>
      </c>
      <c r="I168" s="187">
        <f t="shared" si="93"/>
        <v>2020</v>
      </c>
      <c r="J168" s="187">
        <f t="shared" si="93"/>
        <v>2021</v>
      </c>
      <c r="K168" s="187">
        <f t="shared" si="93"/>
        <v>2022</v>
      </c>
      <c r="L168" s="187">
        <f t="shared" si="93"/>
        <v>2023</v>
      </c>
      <c r="M168" s="187">
        <f t="shared" si="93"/>
        <v>2024</v>
      </c>
      <c r="N168" s="187">
        <f t="shared" si="93"/>
        <v>2025</v>
      </c>
      <c r="O168" s="187">
        <f t="shared" si="93"/>
        <v>2026</v>
      </c>
      <c r="P168" s="187">
        <f t="shared" si="93"/>
        <v>2027</v>
      </c>
      <c r="Q168" s="187">
        <f t="shared" si="93"/>
        <v>2028</v>
      </c>
      <c r="R168" s="187">
        <f t="shared" si="93"/>
        <v>2029</v>
      </c>
      <c r="S168" s="187">
        <f t="shared" si="93"/>
        <v>2030</v>
      </c>
      <c r="T168" s="187">
        <f t="shared" si="93"/>
        <v>2031</v>
      </c>
      <c r="U168" s="187">
        <f t="shared" si="93"/>
        <v>2032</v>
      </c>
      <c r="V168" s="187">
        <f t="shared" si="93"/>
        <v>2033</v>
      </c>
      <c r="W168" s="187">
        <f t="shared" si="93"/>
        <v>2034</v>
      </c>
      <c r="X168" s="187">
        <f t="shared" si="93"/>
        <v>2035</v>
      </c>
      <c r="Y168" s="187">
        <f t="shared" si="93"/>
        <v>2036</v>
      </c>
      <c r="Z168" s="187">
        <f t="shared" si="93"/>
        <v>2037</v>
      </c>
      <c r="AA168" s="187">
        <f t="shared" si="93"/>
        <v>2038</v>
      </c>
      <c r="AB168" s="187">
        <f t="shared" si="93"/>
        <v>2039</v>
      </c>
      <c r="AC168" s="187">
        <f t="shared" si="93"/>
        <v>2040</v>
      </c>
      <c r="AD168" s="187">
        <f t="shared" si="93"/>
        <v>2041</v>
      </c>
      <c r="AE168" s="187">
        <f t="shared" si="93"/>
        <v>2042</v>
      </c>
      <c r="AF168" s="187">
        <f t="shared" si="93"/>
        <v>2043</v>
      </c>
      <c r="AG168" s="187">
        <f t="shared" si="93"/>
        <v>2044</v>
      </c>
    </row>
    <row r="169" spans="1:34" s="140" customFormat="1" ht="13.5" x14ac:dyDescent="0.25">
      <c r="A169" s="189" t="s">
        <v>82</v>
      </c>
      <c r="B169" s="56">
        <f>'Założenia-dane wejściowe '!D31</f>
        <v>21219389</v>
      </c>
      <c r="C169" s="56">
        <f>'Założenia-dane wejściowe '!E31</f>
        <v>21219389</v>
      </c>
      <c r="D169" s="56">
        <f>'Założenia-dane wejściowe '!F31</f>
        <v>21219389</v>
      </c>
      <c r="E169" s="56">
        <f>'Założenia-dane wejściowe '!G31</f>
        <v>21219389</v>
      </c>
      <c r="F169" s="56">
        <f>'Założenia-dane wejściowe '!H31</f>
        <v>21219389</v>
      </c>
      <c r="G169" s="56">
        <f>'Założenia-dane wejściowe '!I31</f>
        <v>21219389</v>
      </c>
      <c r="H169" s="56">
        <f>'Założenia-dane wejściowe '!J31</f>
        <v>21219389</v>
      </c>
      <c r="I169" s="56">
        <f>'Założenia-dane wejściowe '!K31</f>
        <v>21219389</v>
      </c>
      <c r="J169" s="56">
        <f>'Założenia-dane wejściowe '!L31</f>
        <v>21219389</v>
      </c>
      <c r="K169" s="56">
        <f>'Założenia-dane wejściowe '!M31</f>
        <v>21219389</v>
      </c>
      <c r="L169" s="56">
        <f>'Założenia-dane wejściowe '!N31</f>
        <v>21219389</v>
      </c>
      <c r="M169" s="56">
        <f>'Założenia-dane wejściowe '!O31</f>
        <v>21219389</v>
      </c>
      <c r="N169" s="56">
        <f>'Założenia-dane wejściowe '!P31</f>
        <v>21219389</v>
      </c>
      <c r="O169" s="56">
        <f>'Założenia-dane wejściowe '!Q31</f>
        <v>21219389</v>
      </c>
      <c r="P169" s="56">
        <f>'Założenia-dane wejściowe '!R31</f>
        <v>21219389</v>
      </c>
      <c r="Q169" s="56">
        <f>'Założenia-dane wejściowe '!S31</f>
        <v>21219389</v>
      </c>
      <c r="R169" s="56">
        <f>'Założenia-dane wejściowe '!T31</f>
        <v>21219389</v>
      </c>
      <c r="S169" s="56">
        <f>'Założenia-dane wejściowe '!U31</f>
        <v>21219389</v>
      </c>
      <c r="T169" s="56">
        <f>'Założenia-dane wejściowe '!V31</f>
        <v>21219389</v>
      </c>
      <c r="U169" s="56">
        <f>'Założenia-dane wejściowe '!W31</f>
        <v>21219389</v>
      </c>
      <c r="V169" s="56">
        <f>'Założenia-dane wejściowe '!X31</f>
        <v>21219389</v>
      </c>
      <c r="W169" s="56">
        <f>'Założenia-dane wejściowe '!Y31</f>
        <v>21219389</v>
      </c>
      <c r="X169" s="56">
        <f>'Założenia-dane wejściowe '!Z31</f>
        <v>21219389</v>
      </c>
      <c r="Y169" s="56">
        <f>'Założenia-dane wejściowe '!AA31</f>
        <v>21219389</v>
      </c>
      <c r="Z169" s="56">
        <f>'Założenia-dane wejściowe '!AB31</f>
        <v>21219389</v>
      </c>
      <c r="AA169" s="56">
        <f>'Założenia-dane wejściowe '!AC31</f>
        <v>21219389</v>
      </c>
      <c r="AB169" s="56">
        <f>'Założenia-dane wejściowe '!AD31</f>
        <v>21219389</v>
      </c>
      <c r="AC169" s="56">
        <f>'Założenia-dane wejściowe '!AE31</f>
        <v>21219389</v>
      </c>
      <c r="AD169" s="56">
        <f>'Założenia-dane wejściowe '!AF31</f>
        <v>21219389</v>
      </c>
      <c r="AE169" s="56">
        <f>'Założenia-dane wejściowe '!AG31</f>
        <v>21219389</v>
      </c>
      <c r="AF169" s="56">
        <f>'Założenia-dane wejściowe '!AH31</f>
        <v>21219389</v>
      </c>
      <c r="AG169" s="56">
        <f>'Założenia-dane wejściowe '!AI31</f>
        <v>21219389</v>
      </c>
    </row>
    <row r="170" spans="1:34" s="140" customFormat="1" ht="13.5" x14ac:dyDescent="0.25">
      <c r="A170" s="190" t="s">
        <v>340</v>
      </c>
      <c r="B170" s="56">
        <f>'Założenia-dane wejściowe '!D32</f>
        <v>16344521</v>
      </c>
      <c r="C170" s="56">
        <f>'Założenia-dane wejściowe '!E32</f>
        <v>16524311</v>
      </c>
      <c r="D170" s="56">
        <f>'Założenia-dane wejściowe '!F32</f>
        <v>16887846</v>
      </c>
      <c r="E170" s="56">
        <f>'Założenia-dane wejściowe '!G32</f>
        <v>16887846</v>
      </c>
      <c r="F170" s="56">
        <f>'Założenia-dane wejściowe '!H32</f>
        <v>16887846</v>
      </c>
      <c r="G170" s="56">
        <f>'Założenia-dane wejściowe '!I32</f>
        <v>16887846</v>
      </c>
      <c r="H170" s="56">
        <f>'Założenia-dane wejściowe '!J32</f>
        <v>16887846</v>
      </c>
      <c r="I170" s="56">
        <f>'Założenia-dane wejściowe '!K32</f>
        <v>16887846</v>
      </c>
      <c r="J170" s="56">
        <f>'Założenia-dane wejściowe '!L32</f>
        <v>16887846</v>
      </c>
      <c r="K170" s="56">
        <f>'Założenia-dane wejściowe '!M32</f>
        <v>16887846</v>
      </c>
      <c r="L170" s="56">
        <f>'Założenia-dane wejściowe '!N32</f>
        <v>16887846</v>
      </c>
      <c r="M170" s="56">
        <f>'Założenia-dane wejściowe '!O32</f>
        <v>16887846</v>
      </c>
      <c r="N170" s="56">
        <f>'Założenia-dane wejściowe '!P32</f>
        <v>16887846</v>
      </c>
      <c r="O170" s="56">
        <f>'Założenia-dane wejściowe '!Q32</f>
        <v>16887846</v>
      </c>
      <c r="P170" s="56">
        <f>'Założenia-dane wejściowe '!R32</f>
        <v>16887846</v>
      </c>
      <c r="Q170" s="56">
        <f>'Założenia-dane wejściowe '!S32</f>
        <v>16887846</v>
      </c>
      <c r="R170" s="56">
        <f>'Założenia-dane wejściowe '!T32</f>
        <v>16887846</v>
      </c>
      <c r="S170" s="56">
        <f>'Założenia-dane wejściowe '!U32</f>
        <v>16887846</v>
      </c>
      <c r="T170" s="56">
        <f>'Założenia-dane wejściowe '!V32</f>
        <v>16887846</v>
      </c>
      <c r="U170" s="56">
        <f>'Założenia-dane wejściowe '!W32</f>
        <v>16887846</v>
      </c>
      <c r="V170" s="56">
        <f>'Założenia-dane wejściowe '!X32</f>
        <v>16887846</v>
      </c>
      <c r="W170" s="56">
        <f>'Założenia-dane wejściowe '!Y32</f>
        <v>16887846</v>
      </c>
      <c r="X170" s="56">
        <f>'Założenia-dane wejściowe '!Z32</f>
        <v>16887846</v>
      </c>
      <c r="Y170" s="56">
        <f>'Założenia-dane wejściowe '!AA32</f>
        <v>16887846</v>
      </c>
      <c r="Z170" s="56">
        <f>'Założenia-dane wejściowe '!AB32</f>
        <v>16887846</v>
      </c>
      <c r="AA170" s="56">
        <f>'Założenia-dane wejściowe '!AC32</f>
        <v>16887846</v>
      </c>
      <c r="AB170" s="56">
        <f>'Założenia-dane wejściowe '!AD32</f>
        <v>16887846</v>
      </c>
      <c r="AC170" s="56">
        <f>'Założenia-dane wejściowe '!AE32</f>
        <v>16887846</v>
      </c>
      <c r="AD170" s="56">
        <f>'Założenia-dane wejściowe '!AF32</f>
        <v>16887846</v>
      </c>
      <c r="AE170" s="56">
        <f>'Założenia-dane wejściowe '!AG32</f>
        <v>16887846</v>
      </c>
      <c r="AF170" s="56">
        <f>'Założenia-dane wejściowe '!AH32</f>
        <v>16887846</v>
      </c>
      <c r="AG170" s="56">
        <f>'Założenia-dane wejściowe '!AI32</f>
        <v>16887846</v>
      </c>
    </row>
    <row r="171" spans="1:34" s="140" customFormat="1" ht="13.5" x14ac:dyDescent="0.25">
      <c r="A171" s="189" t="s">
        <v>341</v>
      </c>
      <c r="B171" s="56">
        <f>'Założenia-dane wejściowe '!D33</f>
        <v>4357398</v>
      </c>
      <c r="C171" s="56">
        <f>'Założenia-dane wejściowe '!E33</f>
        <v>4357398</v>
      </c>
      <c r="D171" s="56">
        <f>'Założenia-dane wejściowe '!F33</f>
        <v>4409687</v>
      </c>
      <c r="E171" s="56">
        <f>'Założenia-dane wejściowe '!G33</f>
        <v>4409687</v>
      </c>
      <c r="F171" s="56">
        <f>'Założenia-dane wejściowe '!H33</f>
        <v>4409687</v>
      </c>
      <c r="G171" s="56">
        <f>'Założenia-dane wejściowe '!I33</f>
        <v>4409687</v>
      </c>
      <c r="H171" s="56">
        <f>'Założenia-dane wejściowe '!J33</f>
        <v>4409687</v>
      </c>
      <c r="I171" s="56">
        <f>'Założenia-dane wejściowe '!K33</f>
        <v>4409687</v>
      </c>
      <c r="J171" s="56">
        <f>'Założenia-dane wejściowe '!L33</f>
        <v>4409687</v>
      </c>
      <c r="K171" s="56">
        <f>'Założenia-dane wejściowe '!M33</f>
        <v>4409687</v>
      </c>
      <c r="L171" s="56">
        <f>'Założenia-dane wejściowe '!N33</f>
        <v>4409687</v>
      </c>
      <c r="M171" s="56">
        <f>'Założenia-dane wejściowe '!O33</f>
        <v>4409687</v>
      </c>
      <c r="N171" s="56">
        <f>'Założenia-dane wejściowe '!P33</f>
        <v>4409687</v>
      </c>
      <c r="O171" s="56">
        <f>'Założenia-dane wejściowe '!Q33</f>
        <v>4409687</v>
      </c>
      <c r="P171" s="56">
        <f>'Założenia-dane wejściowe '!R33</f>
        <v>4409687</v>
      </c>
      <c r="Q171" s="56">
        <f>'Założenia-dane wejściowe '!S33</f>
        <v>4409687</v>
      </c>
      <c r="R171" s="56">
        <f>'Założenia-dane wejściowe '!T33</f>
        <v>4409687</v>
      </c>
      <c r="S171" s="56">
        <f>'Założenia-dane wejściowe '!U33</f>
        <v>4409687</v>
      </c>
      <c r="T171" s="56">
        <f>'Założenia-dane wejściowe '!V33</f>
        <v>4409687</v>
      </c>
      <c r="U171" s="56">
        <f>'Założenia-dane wejściowe '!W33</f>
        <v>4409687</v>
      </c>
      <c r="V171" s="56">
        <f>'Założenia-dane wejściowe '!X33</f>
        <v>4409687</v>
      </c>
      <c r="W171" s="56">
        <f>'Założenia-dane wejściowe '!Y33</f>
        <v>4409687</v>
      </c>
      <c r="X171" s="56">
        <f>'Założenia-dane wejściowe '!Z33</f>
        <v>4409687</v>
      </c>
      <c r="Y171" s="56">
        <f>'Założenia-dane wejściowe '!AA33</f>
        <v>4409687</v>
      </c>
      <c r="Z171" s="56">
        <f>'Założenia-dane wejściowe '!AB33</f>
        <v>4409687</v>
      </c>
      <c r="AA171" s="56">
        <f>'Założenia-dane wejściowe '!AC33</f>
        <v>4409687</v>
      </c>
      <c r="AB171" s="56">
        <f>'Założenia-dane wejściowe '!AD33</f>
        <v>4409687</v>
      </c>
      <c r="AC171" s="56">
        <f>'Założenia-dane wejściowe '!AE33</f>
        <v>4409687</v>
      </c>
      <c r="AD171" s="56">
        <f>'Założenia-dane wejściowe '!AF33</f>
        <v>4409687</v>
      </c>
      <c r="AE171" s="56">
        <f>'Założenia-dane wejściowe '!AG33</f>
        <v>4409687</v>
      </c>
      <c r="AF171" s="56">
        <f>'Założenia-dane wejściowe '!AH33</f>
        <v>4409687</v>
      </c>
      <c r="AG171" s="56">
        <f>'Założenia-dane wejściowe '!AI33</f>
        <v>4409687</v>
      </c>
    </row>
    <row r="172" spans="1:34" s="140" customFormat="1" ht="13.5" x14ac:dyDescent="0.25">
      <c r="A172" s="189" t="s">
        <v>342</v>
      </c>
      <c r="B172" s="56">
        <f>'Założenia-dane wejściowe '!D34</f>
        <v>6156175</v>
      </c>
      <c r="C172" s="56">
        <f>'Założenia-dane wejściowe '!E34</f>
        <v>6156175</v>
      </c>
      <c r="D172" s="56">
        <f>'Założenia-dane wejściowe '!F34</f>
        <v>6230049</v>
      </c>
      <c r="E172" s="56">
        <f>'Założenia-dane wejściowe '!G34</f>
        <v>6230049</v>
      </c>
      <c r="F172" s="56">
        <f>'Założenia-dane wejściowe '!H34</f>
        <v>6230049</v>
      </c>
      <c r="G172" s="56">
        <f>'Założenia-dane wejściowe '!I34</f>
        <v>6230049</v>
      </c>
      <c r="H172" s="56">
        <f>'Założenia-dane wejściowe '!J34</f>
        <v>6230049</v>
      </c>
      <c r="I172" s="56">
        <f>'Założenia-dane wejściowe '!K34</f>
        <v>6230049</v>
      </c>
      <c r="J172" s="56">
        <f>'Założenia-dane wejściowe '!L34</f>
        <v>6230049</v>
      </c>
      <c r="K172" s="56">
        <f>'Założenia-dane wejściowe '!M34</f>
        <v>6230049</v>
      </c>
      <c r="L172" s="56">
        <f>'Założenia-dane wejściowe '!N34</f>
        <v>6230049</v>
      </c>
      <c r="M172" s="56">
        <f>'Założenia-dane wejściowe '!O34</f>
        <v>6230049</v>
      </c>
      <c r="N172" s="56">
        <f>'Założenia-dane wejściowe '!P34</f>
        <v>6230049</v>
      </c>
      <c r="O172" s="56">
        <f>'Założenia-dane wejściowe '!Q34</f>
        <v>6230049</v>
      </c>
      <c r="P172" s="56">
        <f>'Założenia-dane wejściowe '!R34</f>
        <v>6230049</v>
      </c>
      <c r="Q172" s="56">
        <f>'Założenia-dane wejściowe '!S34</f>
        <v>6230049</v>
      </c>
      <c r="R172" s="56">
        <f>'Założenia-dane wejściowe '!T34</f>
        <v>6230049</v>
      </c>
      <c r="S172" s="56">
        <f>'Założenia-dane wejściowe '!U34</f>
        <v>6230049</v>
      </c>
      <c r="T172" s="56">
        <f>'Założenia-dane wejściowe '!V34</f>
        <v>6230049</v>
      </c>
      <c r="U172" s="56">
        <f>'Założenia-dane wejściowe '!W34</f>
        <v>6230049</v>
      </c>
      <c r="V172" s="56">
        <f>'Założenia-dane wejściowe '!X34</f>
        <v>6230049</v>
      </c>
      <c r="W172" s="56">
        <f>'Założenia-dane wejściowe '!Y34</f>
        <v>6230049</v>
      </c>
      <c r="X172" s="56">
        <f>'Założenia-dane wejściowe '!Z34</f>
        <v>6230049</v>
      </c>
      <c r="Y172" s="56">
        <f>'Założenia-dane wejściowe '!AA34</f>
        <v>6230049</v>
      </c>
      <c r="Z172" s="56">
        <f>'Założenia-dane wejściowe '!AB34</f>
        <v>6230049</v>
      </c>
      <c r="AA172" s="56">
        <f>'Założenia-dane wejściowe '!AC34</f>
        <v>6230049</v>
      </c>
      <c r="AB172" s="56">
        <f>'Założenia-dane wejściowe '!AD34</f>
        <v>6230049</v>
      </c>
      <c r="AC172" s="56">
        <f>'Założenia-dane wejściowe '!AE34</f>
        <v>6230049</v>
      </c>
      <c r="AD172" s="56">
        <f>'Założenia-dane wejściowe '!AF34</f>
        <v>6230049</v>
      </c>
      <c r="AE172" s="56">
        <f>'Założenia-dane wejściowe '!AG34</f>
        <v>6230049</v>
      </c>
      <c r="AF172" s="56">
        <f>'Założenia-dane wejściowe '!AH34</f>
        <v>6230049</v>
      </c>
      <c r="AG172" s="56">
        <f>'Założenia-dane wejściowe '!AI34</f>
        <v>6230049</v>
      </c>
    </row>
    <row r="173" spans="1:34" s="140" customFormat="1" ht="13.5" x14ac:dyDescent="0.25">
      <c r="A173" s="189" t="s">
        <v>343</v>
      </c>
      <c r="B173" s="56">
        <f>'Założenia-dane wejściowe '!D35</f>
        <v>7888143</v>
      </c>
      <c r="C173" s="56">
        <f>'Założenia-dane wejściowe '!E35</f>
        <v>7888143</v>
      </c>
      <c r="D173" s="56">
        <f>'Założenia-dane wejściowe '!F35</f>
        <v>7982801</v>
      </c>
      <c r="E173" s="56">
        <f>'Założenia-dane wejściowe '!G35</f>
        <v>7982801</v>
      </c>
      <c r="F173" s="56">
        <f>'Założenia-dane wejściowe '!H35</f>
        <v>7982801</v>
      </c>
      <c r="G173" s="56">
        <f>'Założenia-dane wejściowe '!I35</f>
        <v>7982801</v>
      </c>
      <c r="H173" s="56">
        <f>'Założenia-dane wejściowe '!J35</f>
        <v>7982801</v>
      </c>
      <c r="I173" s="56">
        <f>'Założenia-dane wejściowe '!K35</f>
        <v>7982801</v>
      </c>
      <c r="J173" s="56">
        <f>'Założenia-dane wejściowe '!L35</f>
        <v>7982801</v>
      </c>
      <c r="K173" s="56">
        <f>'Założenia-dane wejściowe '!M35</f>
        <v>7982801</v>
      </c>
      <c r="L173" s="56">
        <f>'Założenia-dane wejściowe '!N35</f>
        <v>7982801</v>
      </c>
      <c r="M173" s="56">
        <f>'Założenia-dane wejściowe '!O35</f>
        <v>7982801</v>
      </c>
      <c r="N173" s="56">
        <f>'Założenia-dane wejściowe '!P35</f>
        <v>7982801</v>
      </c>
      <c r="O173" s="56">
        <f>'Założenia-dane wejściowe '!Q35</f>
        <v>7982801</v>
      </c>
      <c r="P173" s="56">
        <f>'Założenia-dane wejściowe '!R35</f>
        <v>7982801</v>
      </c>
      <c r="Q173" s="56">
        <f>'Założenia-dane wejściowe '!S35</f>
        <v>7982801</v>
      </c>
      <c r="R173" s="56">
        <f>'Założenia-dane wejściowe '!T35</f>
        <v>7982801</v>
      </c>
      <c r="S173" s="56">
        <f>'Założenia-dane wejściowe '!U35</f>
        <v>7982801</v>
      </c>
      <c r="T173" s="56">
        <f>'Założenia-dane wejściowe '!V35</f>
        <v>7982801</v>
      </c>
      <c r="U173" s="56">
        <f>'Założenia-dane wejściowe '!W35</f>
        <v>7982801</v>
      </c>
      <c r="V173" s="56">
        <f>'Założenia-dane wejściowe '!X35</f>
        <v>7982801</v>
      </c>
      <c r="W173" s="56">
        <f>'Założenia-dane wejściowe '!Y35</f>
        <v>7982801</v>
      </c>
      <c r="X173" s="56">
        <f>'Założenia-dane wejściowe '!Z35</f>
        <v>7982801</v>
      </c>
      <c r="Y173" s="56">
        <f>'Założenia-dane wejściowe '!AA35</f>
        <v>7982801</v>
      </c>
      <c r="Z173" s="56">
        <f>'Założenia-dane wejściowe '!AB35</f>
        <v>7982801</v>
      </c>
      <c r="AA173" s="56">
        <f>'Założenia-dane wejściowe '!AC35</f>
        <v>7982801</v>
      </c>
      <c r="AB173" s="56">
        <f>'Założenia-dane wejściowe '!AD35</f>
        <v>7982801</v>
      </c>
      <c r="AC173" s="56">
        <f>'Założenia-dane wejściowe '!AE35</f>
        <v>7982801</v>
      </c>
      <c r="AD173" s="56">
        <f>'Założenia-dane wejściowe '!AF35</f>
        <v>7982801</v>
      </c>
      <c r="AE173" s="56">
        <f>'Założenia-dane wejściowe '!AG35</f>
        <v>7982801</v>
      </c>
      <c r="AF173" s="56">
        <f>'Założenia-dane wejściowe '!AH35</f>
        <v>7982801</v>
      </c>
      <c r="AG173" s="56">
        <f>'Założenia-dane wejściowe '!AI35</f>
        <v>7982801</v>
      </c>
    </row>
    <row r="174" spans="1:34" s="140" customFormat="1" ht="13.5" x14ac:dyDescent="0.25">
      <c r="A174" s="189" t="s">
        <v>344</v>
      </c>
      <c r="B174" s="56">
        <f>'Założenia-dane wejściowe '!D36</f>
        <v>2647788</v>
      </c>
      <c r="C174" s="56">
        <f>'Założenia-dane wejściowe '!E36</f>
        <v>2647788</v>
      </c>
      <c r="D174" s="56">
        <f>'Założenia-dane wejściowe '!F36</f>
        <v>2679561</v>
      </c>
      <c r="E174" s="56">
        <f>'Założenia-dane wejściowe '!G36</f>
        <v>2679561</v>
      </c>
      <c r="F174" s="56">
        <f>'Założenia-dane wejściowe '!H36</f>
        <v>2679561</v>
      </c>
      <c r="G174" s="56">
        <f>'Założenia-dane wejściowe '!I36</f>
        <v>2679561</v>
      </c>
      <c r="H174" s="56">
        <f>'Założenia-dane wejściowe '!J36</f>
        <v>2679561</v>
      </c>
      <c r="I174" s="56">
        <f>'Założenia-dane wejściowe '!K36</f>
        <v>2679561</v>
      </c>
      <c r="J174" s="56">
        <f>'Założenia-dane wejściowe '!L36</f>
        <v>2679561</v>
      </c>
      <c r="K174" s="56">
        <f>'Założenia-dane wejściowe '!M36</f>
        <v>2679561</v>
      </c>
      <c r="L174" s="56">
        <f>'Założenia-dane wejściowe '!N36</f>
        <v>2679561</v>
      </c>
      <c r="M174" s="56">
        <f>'Założenia-dane wejściowe '!O36</f>
        <v>2679561</v>
      </c>
      <c r="N174" s="56">
        <f>'Założenia-dane wejściowe '!P36</f>
        <v>2679561</v>
      </c>
      <c r="O174" s="56">
        <f>'Założenia-dane wejściowe '!Q36</f>
        <v>2679561</v>
      </c>
      <c r="P174" s="56">
        <f>'Założenia-dane wejściowe '!R36</f>
        <v>2679561</v>
      </c>
      <c r="Q174" s="56">
        <f>'Założenia-dane wejściowe '!S36</f>
        <v>2679561</v>
      </c>
      <c r="R174" s="56">
        <f>'Założenia-dane wejściowe '!T36</f>
        <v>2679561</v>
      </c>
      <c r="S174" s="56">
        <f>'Założenia-dane wejściowe '!U36</f>
        <v>2679561</v>
      </c>
      <c r="T174" s="56">
        <f>'Założenia-dane wejściowe '!V36</f>
        <v>2679561</v>
      </c>
      <c r="U174" s="56">
        <f>'Założenia-dane wejściowe '!W36</f>
        <v>2679561</v>
      </c>
      <c r="V174" s="56">
        <f>'Założenia-dane wejściowe '!X36</f>
        <v>2679561</v>
      </c>
      <c r="W174" s="56">
        <f>'Założenia-dane wejściowe '!Y36</f>
        <v>2679561</v>
      </c>
      <c r="X174" s="56">
        <f>'Założenia-dane wejściowe '!Z36</f>
        <v>2679561</v>
      </c>
      <c r="Y174" s="56">
        <f>'Założenia-dane wejściowe '!AA36</f>
        <v>2679561</v>
      </c>
      <c r="Z174" s="56">
        <f>'Założenia-dane wejściowe '!AB36</f>
        <v>2679561</v>
      </c>
      <c r="AA174" s="56">
        <f>'Założenia-dane wejściowe '!AC36</f>
        <v>2679561</v>
      </c>
      <c r="AB174" s="56">
        <f>'Założenia-dane wejściowe '!AD36</f>
        <v>2679561</v>
      </c>
      <c r="AC174" s="56">
        <f>'Założenia-dane wejściowe '!AE36</f>
        <v>2679561</v>
      </c>
      <c r="AD174" s="56">
        <f>'Założenia-dane wejściowe '!AF36</f>
        <v>2679561</v>
      </c>
      <c r="AE174" s="56">
        <f>'Założenia-dane wejściowe '!AG36</f>
        <v>2679561</v>
      </c>
      <c r="AF174" s="56">
        <f>'Założenia-dane wejściowe '!AH36</f>
        <v>2679561</v>
      </c>
      <c r="AG174" s="56">
        <f>'Założenia-dane wejściowe '!AI36</f>
        <v>2679561</v>
      </c>
    </row>
    <row r="175" spans="1:34" s="140" customFormat="1" ht="13.5" x14ac:dyDescent="0.25">
      <c r="A175" s="189" t="s">
        <v>345</v>
      </c>
      <c r="B175" s="56">
        <f>'Założenia-dane wejściowe '!D37</f>
        <v>472197</v>
      </c>
      <c r="C175" s="56">
        <f>'Założenia-dane wejściowe '!E37</f>
        <v>472197</v>
      </c>
      <c r="D175" s="56">
        <f>'Założenia-dane wejściowe '!F37</f>
        <v>477863</v>
      </c>
      <c r="E175" s="56">
        <f>'Założenia-dane wejściowe '!G37</f>
        <v>477863</v>
      </c>
      <c r="F175" s="56">
        <f>'Założenia-dane wejściowe '!H37</f>
        <v>477863</v>
      </c>
      <c r="G175" s="56">
        <f>'Założenia-dane wejściowe '!I37</f>
        <v>477863</v>
      </c>
      <c r="H175" s="56">
        <f>'Założenia-dane wejściowe '!J37</f>
        <v>477863</v>
      </c>
      <c r="I175" s="56">
        <f>'Założenia-dane wejściowe '!K37</f>
        <v>477863</v>
      </c>
      <c r="J175" s="56">
        <f>'Założenia-dane wejściowe '!L37</f>
        <v>477863</v>
      </c>
      <c r="K175" s="56">
        <f>'Założenia-dane wejściowe '!M37</f>
        <v>477863</v>
      </c>
      <c r="L175" s="56">
        <f>'Założenia-dane wejściowe '!N37</f>
        <v>477863</v>
      </c>
      <c r="M175" s="56">
        <f>'Założenia-dane wejściowe '!O37</f>
        <v>477863</v>
      </c>
      <c r="N175" s="56">
        <f>'Założenia-dane wejściowe '!P37</f>
        <v>477863</v>
      </c>
      <c r="O175" s="56">
        <f>'Założenia-dane wejściowe '!Q37</f>
        <v>477863</v>
      </c>
      <c r="P175" s="56">
        <f>'Założenia-dane wejściowe '!R37</f>
        <v>477863</v>
      </c>
      <c r="Q175" s="56">
        <f>'Założenia-dane wejściowe '!S37</f>
        <v>477863</v>
      </c>
      <c r="R175" s="56">
        <f>'Założenia-dane wejściowe '!T37</f>
        <v>477863</v>
      </c>
      <c r="S175" s="56">
        <f>'Założenia-dane wejściowe '!U37</f>
        <v>477863</v>
      </c>
      <c r="T175" s="56">
        <f>'Założenia-dane wejściowe '!V37</f>
        <v>477863</v>
      </c>
      <c r="U175" s="56">
        <f>'Założenia-dane wejściowe '!W37</f>
        <v>477863</v>
      </c>
      <c r="V175" s="56">
        <f>'Założenia-dane wejściowe '!X37</f>
        <v>477863</v>
      </c>
      <c r="W175" s="56">
        <f>'Założenia-dane wejściowe '!Y37</f>
        <v>477863</v>
      </c>
      <c r="X175" s="56">
        <f>'Założenia-dane wejściowe '!Z37</f>
        <v>477863</v>
      </c>
      <c r="Y175" s="56">
        <f>'Założenia-dane wejściowe '!AA37</f>
        <v>477863</v>
      </c>
      <c r="Z175" s="56">
        <f>'Założenia-dane wejściowe '!AB37</f>
        <v>477863</v>
      </c>
      <c r="AA175" s="56">
        <f>'Założenia-dane wejściowe '!AC37</f>
        <v>477863</v>
      </c>
      <c r="AB175" s="56">
        <f>'Założenia-dane wejściowe '!AD37</f>
        <v>477863</v>
      </c>
      <c r="AC175" s="56">
        <f>'Założenia-dane wejściowe '!AE37</f>
        <v>477863</v>
      </c>
      <c r="AD175" s="56">
        <f>'Założenia-dane wejściowe '!AF37</f>
        <v>477863</v>
      </c>
      <c r="AE175" s="56">
        <f>'Założenia-dane wejściowe '!AG37</f>
        <v>477863</v>
      </c>
      <c r="AF175" s="56">
        <f>'Założenia-dane wejściowe '!AH37</f>
        <v>477863</v>
      </c>
      <c r="AG175" s="56">
        <f>'Założenia-dane wejściowe '!AI37</f>
        <v>477863</v>
      </c>
    </row>
    <row r="176" spans="1:34" s="140" customFormat="1" ht="13.5" x14ac:dyDescent="0.25">
      <c r="A176" s="189" t="s">
        <v>339</v>
      </c>
      <c r="B176" s="56">
        <f>'Założenia-dane wejściowe '!D38</f>
        <v>10174388</v>
      </c>
      <c r="C176" s="56">
        <f>'Założenia-dane wejściowe '!E38</f>
        <v>10174388</v>
      </c>
      <c r="D176" s="56">
        <f>'Założenia-dane wejściowe '!F38</f>
        <v>10296481</v>
      </c>
      <c r="E176" s="56">
        <f>'Założenia-dane wejściowe '!G38</f>
        <v>10296481</v>
      </c>
      <c r="F176" s="56">
        <f>'Założenia-dane wejściowe '!H38</f>
        <v>10296481</v>
      </c>
      <c r="G176" s="56">
        <f>'Założenia-dane wejściowe '!I38</f>
        <v>10296481</v>
      </c>
      <c r="H176" s="56">
        <f>'Założenia-dane wejściowe '!J38</f>
        <v>10296481</v>
      </c>
      <c r="I176" s="56">
        <f>'Założenia-dane wejściowe '!K38</f>
        <v>10296481</v>
      </c>
      <c r="J176" s="56">
        <f>'Założenia-dane wejściowe '!L38</f>
        <v>10296481</v>
      </c>
      <c r="K176" s="56">
        <f>'Założenia-dane wejściowe '!M38</f>
        <v>10296481</v>
      </c>
      <c r="L176" s="56">
        <f>'Założenia-dane wejściowe '!N38</f>
        <v>10296481</v>
      </c>
      <c r="M176" s="56">
        <f>'Założenia-dane wejściowe '!O38</f>
        <v>10296481</v>
      </c>
      <c r="N176" s="56">
        <f>'Założenia-dane wejściowe '!P38</f>
        <v>10296481</v>
      </c>
      <c r="O176" s="56">
        <f>'Założenia-dane wejściowe '!Q38</f>
        <v>10296481</v>
      </c>
      <c r="P176" s="56">
        <f>'Założenia-dane wejściowe '!R38</f>
        <v>10296481</v>
      </c>
      <c r="Q176" s="56">
        <f>'Założenia-dane wejściowe '!S38</f>
        <v>10296481</v>
      </c>
      <c r="R176" s="56">
        <f>'Założenia-dane wejściowe '!T38</f>
        <v>10296481</v>
      </c>
      <c r="S176" s="56">
        <f>'Założenia-dane wejściowe '!U38</f>
        <v>10296481</v>
      </c>
      <c r="T176" s="56">
        <f>'Założenia-dane wejściowe '!V38</f>
        <v>10296481</v>
      </c>
      <c r="U176" s="56">
        <f>'Założenia-dane wejściowe '!W38</f>
        <v>10296481</v>
      </c>
      <c r="V176" s="56">
        <f>'Założenia-dane wejściowe '!X38</f>
        <v>10296481</v>
      </c>
      <c r="W176" s="56">
        <f>'Założenia-dane wejściowe '!Y38</f>
        <v>10296481</v>
      </c>
      <c r="X176" s="56">
        <f>'Założenia-dane wejściowe '!Z38</f>
        <v>10296481</v>
      </c>
      <c r="Y176" s="56">
        <f>'Założenia-dane wejściowe '!AA38</f>
        <v>10296481</v>
      </c>
      <c r="Z176" s="56">
        <f>'Założenia-dane wejściowe '!AB38</f>
        <v>10296481</v>
      </c>
      <c r="AA176" s="56">
        <f>'Założenia-dane wejściowe '!AC38</f>
        <v>10296481</v>
      </c>
      <c r="AB176" s="56">
        <f>'Założenia-dane wejściowe '!AD38</f>
        <v>10296481</v>
      </c>
      <c r="AC176" s="56">
        <f>'Założenia-dane wejściowe '!AE38</f>
        <v>10296481</v>
      </c>
      <c r="AD176" s="56">
        <f>'Założenia-dane wejściowe '!AF38</f>
        <v>10296481</v>
      </c>
      <c r="AE176" s="56">
        <f>'Założenia-dane wejściowe '!AG38</f>
        <v>10296481</v>
      </c>
      <c r="AF176" s="56">
        <f>'Założenia-dane wejściowe '!AH38</f>
        <v>10296481</v>
      </c>
      <c r="AG176" s="56">
        <f>'Założenia-dane wejściowe '!AI38</f>
        <v>10296481</v>
      </c>
    </row>
    <row r="177" spans="1:33" s="140" customFormat="1" ht="13.5" x14ac:dyDescent="0.2">
      <c r="A177" s="176" t="s">
        <v>83</v>
      </c>
      <c r="B177" s="192">
        <f>SUM(B169:B176)</f>
        <v>69259999</v>
      </c>
      <c r="C177" s="192">
        <f t="shared" ref="C177:AG177" si="94">SUM(C169:C176)</f>
        <v>69439789</v>
      </c>
      <c r="D177" s="192">
        <f t="shared" si="94"/>
        <v>70183677</v>
      </c>
      <c r="E177" s="192">
        <f t="shared" si="94"/>
        <v>70183677</v>
      </c>
      <c r="F177" s="192">
        <f t="shared" si="94"/>
        <v>70183677</v>
      </c>
      <c r="G177" s="192">
        <f t="shared" si="94"/>
        <v>70183677</v>
      </c>
      <c r="H177" s="192">
        <f t="shared" si="94"/>
        <v>70183677</v>
      </c>
      <c r="I177" s="192">
        <f t="shared" si="94"/>
        <v>70183677</v>
      </c>
      <c r="J177" s="192">
        <f t="shared" si="94"/>
        <v>70183677</v>
      </c>
      <c r="K177" s="192">
        <f t="shared" si="94"/>
        <v>70183677</v>
      </c>
      <c r="L177" s="192">
        <f t="shared" si="94"/>
        <v>70183677</v>
      </c>
      <c r="M177" s="192">
        <f t="shared" si="94"/>
        <v>70183677</v>
      </c>
      <c r="N177" s="192">
        <f t="shared" si="94"/>
        <v>70183677</v>
      </c>
      <c r="O177" s="192">
        <f t="shared" si="94"/>
        <v>70183677</v>
      </c>
      <c r="P177" s="192">
        <f t="shared" si="94"/>
        <v>70183677</v>
      </c>
      <c r="Q177" s="192">
        <f t="shared" si="94"/>
        <v>70183677</v>
      </c>
      <c r="R177" s="192">
        <f t="shared" si="94"/>
        <v>70183677</v>
      </c>
      <c r="S177" s="192">
        <f t="shared" si="94"/>
        <v>70183677</v>
      </c>
      <c r="T177" s="192">
        <f t="shared" si="94"/>
        <v>70183677</v>
      </c>
      <c r="U177" s="192">
        <f t="shared" si="94"/>
        <v>70183677</v>
      </c>
      <c r="V177" s="192">
        <f t="shared" si="94"/>
        <v>70183677</v>
      </c>
      <c r="W177" s="192">
        <f t="shared" si="94"/>
        <v>70183677</v>
      </c>
      <c r="X177" s="192">
        <f t="shared" si="94"/>
        <v>70183677</v>
      </c>
      <c r="Y177" s="192">
        <f t="shared" si="94"/>
        <v>70183677</v>
      </c>
      <c r="Z177" s="192">
        <f t="shared" si="94"/>
        <v>70183677</v>
      </c>
      <c r="AA177" s="192">
        <f t="shared" si="94"/>
        <v>70183677</v>
      </c>
      <c r="AB177" s="192">
        <f t="shared" si="94"/>
        <v>70183677</v>
      </c>
      <c r="AC177" s="192">
        <f t="shared" si="94"/>
        <v>70183677</v>
      </c>
      <c r="AD177" s="192">
        <f t="shared" si="94"/>
        <v>70183677</v>
      </c>
      <c r="AE177" s="192">
        <f t="shared" si="94"/>
        <v>70183677</v>
      </c>
      <c r="AF177" s="192">
        <f t="shared" si="94"/>
        <v>70183677</v>
      </c>
      <c r="AG177" s="192">
        <f t="shared" si="94"/>
        <v>70183677</v>
      </c>
    </row>
    <row r="178" spans="1:33" hidden="1" x14ac:dyDescent="0.2">
      <c r="A178" s="239"/>
      <c r="B178" s="240"/>
    </row>
    <row r="179" spans="1:33" ht="15.75" x14ac:dyDescent="0.2">
      <c r="A179" s="233" t="s">
        <v>408</v>
      </c>
      <c r="B179" s="240"/>
    </row>
    <row r="180" spans="1:33" s="140" customFormat="1" ht="13.5" x14ac:dyDescent="0.25">
      <c r="A180" s="184" t="s">
        <v>81</v>
      </c>
      <c r="B180" s="187">
        <v>2013</v>
      </c>
      <c r="C180" s="187">
        <f t="shared" ref="C180:AG180" si="95">B180+1</f>
        <v>2014</v>
      </c>
      <c r="D180" s="187">
        <f t="shared" si="95"/>
        <v>2015</v>
      </c>
      <c r="E180" s="187">
        <f t="shared" si="95"/>
        <v>2016</v>
      </c>
      <c r="F180" s="187">
        <f t="shared" si="95"/>
        <v>2017</v>
      </c>
      <c r="G180" s="187">
        <f t="shared" si="95"/>
        <v>2018</v>
      </c>
      <c r="H180" s="187">
        <f t="shared" si="95"/>
        <v>2019</v>
      </c>
      <c r="I180" s="187">
        <f t="shared" si="95"/>
        <v>2020</v>
      </c>
      <c r="J180" s="187">
        <f t="shared" si="95"/>
        <v>2021</v>
      </c>
      <c r="K180" s="187">
        <f t="shared" si="95"/>
        <v>2022</v>
      </c>
      <c r="L180" s="187">
        <f t="shared" si="95"/>
        <v>2023</v>
      </c>
      <c r="M180" s="187">
        <f t="shared" si="95"/>
        <v>2024</v>
      </c>
      <c r="N180" s="187">
        <f t="shared" si="95"/>
        <v>2025</v>
      </c>
      <c r="O180" s="187">
        <f t="shared" si="95"/>
        <v>2026</v>
      </c>
      <c r="P180" s="187">
        <f t="shared" si="95"/>
        <v>2027</v>
      </c>
      <c r="Q180" s="187">
        <f t="shared" si="95"/>
        <v>2028</v>
      </c>
      <c r="R180" s="187">
        <f t="shared" si="95"/>
        <v>2029</v>
      </c>
      <c r="S180" s="187">
        <f t="shared" si="95"/>
        <v>2030</v>
      </c>
      <c r="T180" s="187">
        <f t="shared" si="95"/>
        <v>2031</v>
      </c>
      <c r="U180" s="187">
        <f t="shared" si="95"/>
        <v>2032</v>
      </c>
      <c r="V180" s="187">
        <f t="shared" si="95"/>
        <v>2033</v>
      </c>
      <c r="W180" s="187">
        <f t="shared" si="95"/>
        <v>2034</v>
      </c>
      <c r="X180" s="187">
        <f t="shared" si="95"/>
        <v>2035</v>
      </c>
      <c r="Y180" s="187">
        <f t="shared" si="95"/>
        <v>2036</v>
      </c>
      <c r="Z180" s="187">
        <f t="shared" si="95"/>
        <v>2037</v>
      </c>
      <c r="AA180" s="187">
        <f t="shared" si="95"/>
        <v>2038</v>
      </c>
      <c r="AB180" s="187">
        <f t="shared" si="95"/>
        <v>2039</v>
      </c>
      <c r="AC180" s="187">
        <f t="shared" si="95"/>
        <v>2040</v>
      </c>
      <c r="AD180" s="187">
        <f t="shared" si="95"/>
        <v>2041</v>
      </c>
      <c r="AE180" s="187">
        <f t="shared" si="95"/>
        <v>2042</v>
      </c>
      <c r="AF180" s="187">
        <f t="shared" si="95"/>
        <v>2043</v>
      </c>
      <c r="AG180" s="187">
        <f t="shared" si="95"/>
        <v>2044</v>
      </c>
    </row>
    <row r="181" spans="1:33" s="140" customFormat="1" ht="13.5" x14ac:dyDescent="0.25">
      <c r="A181" s="189" t="s">
        <v>82</v>
      </c>
      <c r="B181" s="56">
        <f>'Założenia-dane wejściowe '!D51</f>
        <v>16347977</v>
      </c>
      <c r="C181" s="56">
        <f>'Założenia-dane wejściowe '!E51</f>
        <v>16347977</v>
      </c>
      <c r="D181" s="56">
        <f>'Założenia-dane wejściowe '!F51</f>
        <v>16347977</v>
      </c>
      <c r="E181" s="56">
        <f>'Założenia-dane wejściowe '!G51</f>
        <v>16347977</v>
      </c>
      <c r="F181" s="56">
        <f>'Założenia-dane wejściowe '!H51</f>
        <v>16347977</v>
      </c>
      <c r="G181" s="56">
        <f>'Założenia-dane wejściowe '!I51</f>
        <v>16347977</v>
      </c>
      <c r="H181" s="56">
        <f>'Założenia-dane wejściowe '!J51</f>
        <v>16347977</v>
      </c>
      <c r="I181" s="56">
        <f>'Założenia-dane wejściowe '!K51</f>
        <v>16347977</v>
      </c>
      <c r="J181" s="56">
        <f>'Założenia-dane wejściowe '!L51</f>
        <v>16347977</v>
      </c>
      <c r="K181" s="56">
        <f>'Założenia-dane wejściowe '!M51</f>
        <v>16347977</v>
      </c>
      <c r="L181" s="56">
        <f>'Założenia-dane wejściowe '!N51</f>
        <v>16347977</v>
      </c>
      <c r="M181" s="56">
        <f>'Założenia-dane wejściowe '!O51</f>
        <v>16347977</v>
      </c>
      <c r="N181" s="56">
        <f>'Założenia-dane wejściowe '!P51</f>
        <v>16347977</v>
      </c>
      <c r="O181" s="56">
        <f>'Założenia-dane wejściowe '!Q51</f>
        <v>16347977</v>
      </c>
      <c r="P181" s="56">
        <f>'Założenia-dane wejściowe '!R51</f>
        <v>16347977</v>
      </c>
      <c r="Q181" s="56">
        <f>'Założenia-dane wejściowe '!S51</f>
        <v>16347977</v>
      </c>
      <c r="R181" s="56">
        <f>'Założenia-dane wejściowe '!T51</f>
        <v>16347977</v>
      </c>
      <c r="S181" s="56">
        <f>'Założenia-dane wejściowe '!U51</f>
        <v>16347977</v>
      </c>
      <c r="T181" s="56">
        <f>'Założenia-dane wejściowe '!V51</f>
        <v>16347977</v>
      </c>
      <c r="U181" s="56">
        <f>'Założenia-dane wejściowe '!W51</f>
        <v>16347977</v>
      </c>
      <c r="V181" s="56">
        <f>'Założenia-dane wejściowe '!X51</f>
        <v>16347977</v>
      </c>
      <c r="W181" s="56">
        <f>'Założenia-dane wejściowe '!Y51</f>
        <v>16347977</v>
      </c>
      <c r="X181" s="56">
        <f>'Założenia-dane wejściowe '!Z51</f>
        <v>16347977</v>
      </c>
      <c r="Y181" s="56">
        <f>'Założenia-dane wejściowe '!AA51</f>
        <v>16347977</v>
      </c>
      <c r="Z181" s="56">
        <f>'Założenia-dane wejściowe '!AB51</f>
        <v>16347977</v>
      </c>
      <c r="AA181" s="56">
        <f>'Założenia-dane wejściowe '!AC51</f>
        <v>16347977</v>
      </c>
      <c r="AB181" s="56">
        <f>'Założenia-dane wejściowe '!AD51</f>
        <v>16347977</v>
      </c>
      <c r="AC181" s="56">
        <f>'Założenia-dane wejściowe '!AE51</f>
        <v>16347977</v>
      </c>
      <c r="AD181" s="56">
        <f>'Założenia-dane wejściowe '!AF51</f>
        <v>16347977</v>
      </c>
      <c r="AE181" s="56">
        <f>'Założenia-dane wejściowe '!AG51</f>
        <v>16347977</v>
      </c>
      <c r="AF181" s="56">
        <f>'Założenia-dane wejściowe '!AH51</f>
        <v>16347977</v>
      </c>
      <c r="AG181" s="56">
        <f>'Założenia-dane wejściowe '!AI51</f>
        <v>16347977</v>
      </c>
    </row>
    <row r="182" spans="1:33" s="140" customFormat="1" ht="13.5" x14ac:dyDescent="0.25">
      <c r="A182" s="190" t="s">
        <v>340</v>
      </c>
      <c r="B182" s="56">
        <f>'Założenia-dane wejściowe '!D52</f>
        <v>12314195</v>
      </c>
      <c r="C182" s="56">
        <f>'Założenia-dane wejściowe '!E52</f>
        <v>12449651</v>
      </c>
      <c r="D182" s="56">
        <f>'Założenia-dane wejściowe '!F52</f>
        <v>12723543</v>
      </c>
      <c r="E182" s="56">
        <f>'Założenia-dane wejściowe '!G52</f>
        <v>12723543</v>
      </c>
      <c r="F182" s="56">
        <f>'Założenia-dane wejściowe '!H52</f>
        <v>12723543</v>
      </c>
      <c r="G182" s="56">
        <f>'Założenia-dane wejściowe '!I52</f>
        <v>12723543</v>
      </c>
      <c r="H182" s="56">
        <f>'Założenia-dane wejściowe '!J52</f>
        <v>12723543</v>
      </c>
      <c r="I182" s="56">
        <f>'Założenia-dane wejściowe '!K52</f>
        <v>12723543</v>
      </c>
      <c r="J182" s="56">
        <f>'Założenia-dane wejściowe '!L52</f>
        <v>12723543</v>
      </c>
      <c r="K182" s="56">
        <f>'Założenia-dane wejściowe '!M52</f>
        <v>12723543</v>
      </c>
      <c r="L182" s="56">
        <f>'Założenia-dane wejściowe '!N52</f>
        <v>12723543</v>
      </c>
      <c r="M182" s="56">
        <f>'Założenia-dane wejściowe '!O52</f>
        <v>12723543</v>
      </c>
      <c r="N182" s="56">
        <f>'Założenia-dane wejściowe '!P52</f>
        <v>12723543</v>
      </c>
      <c r="O182" s="56">
        <f>'Założenia-dane wejściowe '!Q52</f>
        <v>12723543</v>
      </c>
      <c r="P182" s="56">
        <f>'Założenia-dane wejściowe '!R52</f>
        <v>12723543</v>
      </c>
      <c r="Q182" s="56">
        <f>'Założenia-dane wejściowe '!S52</f>
        <v>12723543</v>
      </c>
      <c r="R182" s="56">
        <f>'Założenia-dane wejściowe '!T52</f>
        <v>12723543</v>
      </c>
      <c r="S182" s="56">
        <f>'Założenia-dane wejściowe '!U52</f>
        <v>12723543</v>
      </c>
      <c r="T182" s="56">
        <f>'Założenia-dane wejściowe '!V52</f>
        <v>12723543</v>
      </c>
      <c r="U182" s="56">
        <f>'Założenia-dane wejściowe '!W52</f>
        <v>12723543</v>
      </c>
      <c r="V182" s="56">
        <f>'Założenia-dane wejściowe '!X52</f>
        <v>12723543</v>
      </c>
      <c r="W182" s="56">
        <f>'Założenia-dane wejściowe '!Y52</f>
        <v>12723543</v>
      </c>
      <c r="X182" s="56">
        <f>'Założenia-dane wejściowe '!Z52</f>
        <v>12723543</v>
      </c>
      <c r="Y182" s="56">
        <f>'Założenia-dane wejściowe '!AA52</f>
        <v>12723543</v>
      </c>
      <c r="Z182" s="56">
        <f>'Założenia-dane wejściowe '!AB52</f>
        <v>12723543</v>
      </c>
      <c r="AA182" s="56">
        <f>'Założenia-dane wejściowe '!AC52</f>
        <v>12723543</v>
      </c>
      <c r="AB182" s="56">
        <f>'Założenia-dane wejściowe '!AD52</f>
        <v>12723543</v>
      </c>
      <c r="AC182" s="56">
        <f>'Założenia-dane wejściowe '!AE52</f>
        <v>12723543</v>
      </c>
      <c r="AD182" s="56">
        <f>'Założenia-dane wejściowe '!AF52</f>
        <v>12723543</v>
      </c>
      <c r="AE182" s="56">
        <f>'Założenia-dane wejściowe '!AG52</f>
        <v>12723543</v>
      </c>
      <c r="AF182" s="56">
        <f>'Założenia-dane wejściowe '!AH52</f>
        <v>12723543</v>
      </c>
      <c r="AG182" s="56">
        <f>'Założenia-dane wejściowe '!AI52</f>
        <v>12723543</v>
      </c>
    </row>
    <row r="183" spans="1:33" s="140" customFormat="1" ht="13.5" x14ac:dyDescent="0.25">
      <c r="A183" s="189" t="s">
        <v>341</v>
      </c>
      <c r="B183" s="56">
        <f>'Założenia-dane wejściowe '!D53</f>
        <v>2468976</v>
      </c>
      <c r="C183" s="56">
        <f>'Założenia-dane wejściowe '!E53</f>
        <v>2468976</v>
      </c>
      <c r="D183" s="56">
        <f>'Założenia-dane wejściowe '!F53</f>
        <v>2498604</v>
      </c>
      <c r="E183" s="56">
        <f>'Założenia-dane wejściowe '!G53</f>
        <v>2498604</v>
      </c>
      <c r="F183" s="56">
        <f>'Założenia-dane wejściowe '!H53</f>
        <v>2498604</v>
      </c>
      <c r="G183" s="56">
        <f>'Założenia-dane wejściowe '!I53</f>
        <v>2498604</v>
      </c>
      <c r="H183" s="56">
        <f>'Założenia-dane wejściowe '!J53</f>
        <v>2498604</v>
      </c>
      <c r="I183" s="56">
        <f>'Założenia-dane wejściowe '!K53</f>
        <v>2498604</v>
      </c>
      <c r="J183" s="56">
        <f>'Założenia-dane wejściowe '!L53</f>
        <v>2498604</v>
      </c>
      <c r="K183" s="56">
        <f>'Założenia-dane wejściowe '!M53</f>
        <v>2498604</v>
      </c>
      <c r="L183" s="56">
        <f>'Założenia-dane wejściowe '!N53</f>
        <v>2498604</v>
      </c>
      <c r="M183" s="56">
        <f>'Założenia-dane wejściowe '!O53</f>
        <v>2498604</v>
      </c>
      <c r="N183" s="56">
        <f>'Założenia-dane wejściowe '!P53</f>
        <v>2498604</v>
      </c>
      <c r="O183" s="56">
        <f>'Założenia-dane wejściowe '!Q53</f>
        <v>2498604</v>
      </c>
      <c r="P183" s="56">
        <f>'Założenia-dane wejściowe '!R53</f>
        <v>2498604</v>
      </c>
      <c r="Q183" s="56">
        <f>'Założenia-dane wejściowe '!S53</f>
        <v>2498604</v>
      </c>
      <c r="R183" s="56">
        <f>'Założenia-dane wejściowe '!T53</f>
        <v>2498604</v>
      </c>
      <c r="S183" s="56">
        <f>'Założenia-dane wejściowe '!U53</f>
        <v>2498604</v>
      </c>
      <c r="T183" s="56">
        <f>'Założenia-dane wejściowe '!V53</f>
        <v>2498604</v>
      </c>
      <c r="U183" s="56">
        <f>'Założenia-dane wejściowe '!W53</f>
        <v>2498604</v>
      </c>
      <c r="V183" s="56">
        <f>'Założenia-dane wejściowe '!X53</f>
        <v>2498604</v>
      </c>
      <c r="W183" s="56">
        <f>'Założenia-dane wejściowe '!Y53</f>
        <v>2498604</v>
      </c>
      <c r="X183" s="56">
        <f>'Założenia-dane wejściowe '!Z53</f>
        <v>2498604</v>
      </c>
      <c r="Y183" s="56">
        <f>'Założenia-dane wejściowe '!AA53</f>
        <v>2498604</v>
      </c>
      <c r="Z183" s="56">
        <f>'Założenia-dane wejściowe '!AB53</f>
        <v>2498604</v>
      </c>
      <c r="AA183" s="56">
        <f>'Założenia-dane wejściowe '!AC53</f>
        <v>2498604</v>
      </c>
      <c r="AB183" s="56">
        <f>'Założenia-dane wejściowe '!AD53</f>
        <v>2498604</v>
      </c>
      <c r="AC183" s="56">
        <f>'Założenia-dane wejściowe '!AE53</f>
        <v>2498604</v>
      </c>
      <c r="AD183" s="56">
        <f>'Założenia-dane wejściowe '!AF53</f>
        <v>2498604</v>
      </c>
      <c r="AE183" s="56">
        <f>'Założenia-dane wejściowe '!AG53</f>
        <v>2498604</v>
      </c>
      <c r="AF183" s="56">
        <f>'Założenia-dane wejściowe '!AH53</f>
        <v>2498604</v>
      </c>
      <c r="AG183" s="56">
        <f>'Założenia-dane wejściowe '!AI53</f>
        <v>2498604</v>
      </c>
    </row>
    <row r="184" spans="1:33" s="140" customFormat="1" ht="13.5" x14ac:dyDescent="0.25">
      <c r="A184" s="189" t="s">
        <v>342</v>
      </c>
      <c r="B184" s="56">
        <f>'Założenia-dane wejściowe '!D54</f>
        <v>5052712</v>
      </c>
      <c r="C184" s="56">
        <f>'Założenia-dane wejściowe '!E54</f>
        <v>5052712</v>
      </c>
      <c r="D184" s="56">
        <f>'Założenia-dane wejściowe '!F54</f>
        <v>5113345</v>
      </c>
      <c r="E184" s="56">
        <f>'Założenia-dane wejściowe '!G54</f>
        <v>5113345</v>
      </c>
      <c r="F184" s="56">
        <f>'Założenia-dane wejściowe '!H54</f>
        <v>5113345</v>
      </c>
      <c r="G184" s="56">
        <f>'Założenia-dane wejściowe '!I54</f>
        <v>5113345</v>
      </c>
      <c r="H184" s="56">
        <f>'Założenia-dane wejściowe '!J54</f>
        <v>5113345</v>
      </c>
      <c r="I184" s="56">
        <f>'Założenia-dane wejściowe '!K54</f>
        <v>5113345</v>
      </c>
      <c r="J184" s="56">
        <f>'Założenia-dane wejściowe '!L54</f>
        <v>5113345</v>
      </c>
      <c r="K184" s="56">
        <f>'Założenia-dane wejściowe '!M54</f>
        <v>5113345</v>
      </c>
      <c r="L184" s="56">
        <f>'Założenia-dane wejściowe '!N54</f>
        <v>5113345</v>
      </c>
      <c r="M184" s="56">
        <f>'Założenia-dane wejściowe '!O54</f>
        <v>5113345</v>
      </c>
      <c r="N184" s="56">
        <f>'Założenia-dane wejściowe '!P54</f>
        <v>5113345</v>
      </c>
      <c r="O184" s="56">
        <f>'Założenia-dane wejściowe '!Q54</f>
        <v>5113345</v>
      </c>
      <c r="P184" s="56">
        <f>'Założenia-dane wejściowe '!R54</f>
        <v>5113345</v>
      </c>
      <c r="Q184" s="56">
        <f>'Założenia-dane wejściowe '!S54</f>
        <v>5113345</v>
      </c>
      <c r="R184" s="56">
        <f>'Założenia-dane wejściowe '!T54</f>
        <v>5113345</v>
      </c>
      <c r="S184" s="56">
        <f>'Założenia-dane wejściowe '!U54</f>
        <v>5113345</v>
      </c>
      <c r="T184" s="56">
        <f>'Założenia-dane wejściowe '!V54</f>
        <v>5113345</v>
      </c>
      <c r="U184" s="56">
        <f>'Założenia-dane wejściowe '!W54</f>
        <v>5113345</v>
      </c>
      <c r="V184" s="56">
        <f>'Założenia-dane wejściowe '!X54</f>
        <v>5113345</v>
      </c>
      <c r="W184" s="56">
        <f>'Założenia-dane wejściowe '!Y54</f>
        <v>5113345</v>
      </c>
      <c r="X184" s="56">
        <f>'Założenia-dane wejściowe '!Z54</f>
        <v>5113345</v>
      </c>
      <c r="Y184" s="56">
        <f>'Założenia-dane wejściowe '!AA54</f>
        <v>5113345</v>
      </c>
      <c r="Z184" s="56">
        <f>'Założenia-dane wejściowe '!AB54</f>
        <v>5113345</v>
      </c>
      <c r="AA184" s="56">
        <f>'Założenia-dane wejściowe '!AC54</f>
        <v>5113345</v>
      </c>
      <c r="AB184" s="56">
        <f>'Założenia-dane wejściowe '!AD54</f>
        <v>5113345</v>
      </c>
      <c r="AC184" s="56">
        <f>'Założenia-dane wejściowe '!AE54</f>
        <v>5113345</v>
      </c>
      <c r="AD184" s="56">
        <f>'Założenia-dane wejściowe '!AF54</f>
        <v>5113345</v>
      </c>
      <c r="AE184" s="56">
        <f>'Założenia-dane wejściowe '!AG54</f>
        <v>5113345</v>
      </c>
      <c r="AF184" s="56">
        <f>'Założenia-dane wejściowe '!AH54</f>
        <v>5113345</v>
      </c>
      <c r="AG184" s="56">
        <f>'Założenia-dane wejściowe '!AI54</f>
        <v>5113345</v>
      </c>
    </row>
    <row r="185" spans="1:33" s="140" customFormat="1" ht="13.5" x14ac:dyDescent="0.25">
      <c r="A185" s="189" t="s">
        <v>343</v>
      </c>
      <c r="B185" s="56">
        <f>'Założenia-dane wejściowe '!D55</f>
        <v>10352363</v>
      </c>
      <c r="C185" s="56">
        <f>'Założenia-dane wejściowe '!E55</f>
        <v>10352363</v>
      </c>
      <c r="D185" s="56">
        <f>'Założenia-dane wejściowe '!F55</f>
        <v>10476591</v>
      </c>
      <c r="E185" s="56">
        <f>'Założenia-dane wejściowe '!G55</f>
        <v>10476591</v>
      </c>
      <c r="F185" s="56">
        <f>'Założenia-dane wejściowe '!H55</f>
        <v>10476591</v>
      </c>
      <c r="G185" s="56">
        <f>'Założenia-dane wejściowe '!I55</f>
        <v>10476591</v>
      </c>
      <c r="H185" s="56">
        <f>'Założenia-dane wejściowe '!J55</f>
        <v>10476591</v>
      </c>
      <c r="I185" s="56">
        <f>'Założenia-dane wejściowe '!K55</f>
        <v>10476591</v>
      </c>
      <c r="J185" s="56">
        <f>'Założenia-dane wejściowe '!L55</f>
        <v>10476591</v>
      </c>
      <c r="K185" s="56">
        <f>'Założenia-dane wejściowe '!M55</f>
        <v>10476591</v>
      </c>
      <c r="L185" s="56">
        <f>'Założenia-dane wejściowe '!N55</f>
        <v>10476591</v>
      </c>
      <c r="M185" s="56">
        <f>'Założenia-dane wejściowe '!O55</f>
        <v>10476591</v>
      </c>
      <c r="N185" s="56">
        <f>'Założenia-dane wejściowe '!P55</f>
        <v>10476591</v>
      </c>
      <c r="O185" s="56">
        <f>'Założenia-dane wejściowe '!Q55</f>
        <v>10476591</v>
      </c>
      <c r="P185" s="56">
        <f>'Założenia-dane wejściowe '!R55</f>
        <v>10476591</v>
      </c>
      <c r="Q185" s="56">
        <f>'Założenia-dane wejściowe '!S55</f>
        <v>10476591</v>
      </c>
      <c r="R185" s="56">
        <f>'Założenia-dane wejściowe '!T55</f>
        <v>10476591</v>
      </c>
      <c r="S185" s="56">
        <f>'Założenia-dane wejściowe '!U55</f>
        <v>10476591</v>
      </c>
      <c r="T185" s="56">
        <f>'Założenia-dane wejściowe '!V55</f>
        <v>10476591</v>
      </c>
      <c r="U185" s="56">
        <f>'Założenia-dane wejściowe '!W55</f>
        <v>10476591</v>
      </c>
      <c r="V185" s="56">
        <f>'Założenia-dane wejściowe '!X55</f>
        <v>10476591</v>
      </c>
      <c r="W185" s="56">
        <f>'Założenia-dane wejściowe '!Y55</f>
        <v>10476591</v>
      </c>
      <c r="X185" s="56">
        <f>'Założenia-dane wejściowe '!Z55</f>
        <v>10476591</v>
      </c>
      <c r="Y185" s="56">
        <f>'Założenia-dane wejściowe '!AA55</f>
        <v>10476591</v>
      </c>
      <c r="Z185" s="56">
        <f>'Założenia-dane wejściowe '!AB55</f>
        <v>10476591</v>
      </c>
      <c r="AA185" s="56">
        <f>'Założenia-dane wejściowe '!AC55</f>
        <v>10476591</v>
      </c>
      <c r="AB185" s="56">
        <f>'Założenia-dane wejściowe '!AD55</f>
        <v>10476591</v>
      </c>
      <c r="AC185" s="56">
        <f>'Założenia-dane wejściowe '!AE55</f>
        <v>10476591</v>
      </c>
      <c r="AD185" s="56">
        <f>'Założenia-dane wejściowe '!AF55</f>
        <v>10476591</v>
      </c>
      <c r="AE185" s="56">
        <f>'Założenia-dane wejściowe '!AG55</f>
        <v>10476591</v>
      </c>
      <c r="AF185" s="56">
        <f>'Założenia-dane wejściowe '!AH55</f>
        <v>10476591</v>
      </c>
      <c r="AG185" s="56">
        <f>'Założenia-dane wejściowe '!AI55</f>
        <v>10476591</v>
      </c>
    </row>
    <row r="186" spans="1:33" s="140" customFormat="1" ht="13.5" x14ac:dyDescent="0.25">
      <c r="A186" s="189" t="s">
        <v>344</v>
      </c>
      <c r="B186" s="56">
        <f>'Założenia-dane wejściowe '!D56</f>
        <v>9986346</v>
      </c>
      <c r="C186" s="56">
        <f>'Założenia-dane wejściowe '!E56</f>
        <v>9986346</v>
      </c>
      <c r="D186" s="56">
        <f>'Założenia-dane wejściowe '!F56</f>
        <v>10106182</v>
      </c>
      <c r="E186" s="56">
        <f>'Założenia-dane wejściowe '!G56</f>
        <v>10106182</v>
      </c>
      <c r="F186" s="56">
        <f>'Założenia-dane wejściowe '!H56</f>
        <v>10106182</v>
      </c>
      <c r="G186" s="56">
        <f>'Założenia-dane wejściowe '!I56</f>
        <v>10106182</v>
      </c>
      <c r="H186" s="56">
        <f>'Założenia-dane wejściowe '!J56</f>
        <v>10106182</v>
      </c>
      <c r="I186" s="56">
        <f>'Założenia-dane wejściowe '!K56</f>
        <v>10106182</v>
      </c>
      <c r="J186" s="56">
        <f>'Założenia-dane wejściowe '!L56</f>
        <v>10106182</v>
      </c>
      <c r="K186" s="56">
        <f>'Założenia-dane wejściowe '!M56</f>
        <v>10106182</v>
      </c>
      <c r="L186" s="56">
        <f>'Założenia-dane wejściowe '!N56</f>
        <v>10106182</v>
      </c>
      <c r="M186" s="56">
        <f>'Założenia-dane wejściowe '!O56</f>
        <v>10106182</v>
      </c>
      <c r="N186" s="56">
        <f>'Założenia-dane wejściowe '!P56</f>
        <v>10106182</v>
      </c>
      <c r="O186" s="56">
        <f>'Założenia-dane wejściowe '!Q56</f>
        <v>10106182</v>
      </c>
      <c r="P186" s="56">
        <f>'Założenia-dane wejściowe '!R56</f>
        <v>10106182</v>
      </c>
      <c r="Q186" s="56">
        <f>'Założenia-dane wejściowe '!S56</f>
        <v>10106182</v>
      </c>
      <c r="R186" s="56">
        <f>'Założenia-dane wejściowe '!T56</f>
        <v>10106182</v>
      </c>
      <c r="S186" s="56">
        <f>'Założenia-dane wejściowe '!U56</f>
        <v>10106182</v>
      </c>
      <c r="T186" s="56">
        <f>'Założenia-dane wejściowe '!V56</f>
        <v>10106182</v>
      </c>
      <c r="U186" s="56">
        <f>'Założenia-dane wejściowe '!W56</f>
        <v>10106182</v>
      </c>
      <c r="V186" s="56">
        <f>'Założenia-dane wejściowe '!X56</f>
        <v>10106182</v>
      </c>
      <c r="W186" s="56">
        <f>'Założenia-dane wejściowe '!Y56</f>
        <v>10106182</v>
      </c>
      <c r="X186" s="56">
        <f>'Założenia-dane wejściowe '!Z56</f>
        <v>10106182</v>
      </c>
      <c r="Y186" s="56">
        <f>'Założenia-dane wejściowe '!AA56</f>
        <v>10106182</v>
      </c>
      <c r="Z186" s="56">
        <f>'Założenia-dane wejściowe '!AB56</f>
        <v>10106182</v>
      </c>
      <c r="AA186" s="56">
        <f>'Założenia-dane wejściowe '!AC56</f>
        <v>10106182</v>
      </c>
      <c r="AB186" s="56">
        <f>'Założenia-dane wejściowe '!AD56</f>
        <v>10106182</v>
      </c>
      <c r="AC186" s="56">
        <f>'Założenia-dane wejściowe '!AE56</f>
        <v>10106182</v>
      </c>
      <c r="AD186" s="56">
        <f>'Założenia-dane wejściowe '!AF56</f>
        <v>10106182</v>
      </c>
      <c r="AE186" s="56">
        <f>'Założenia-dane wejściowe '!AG56</f>
        <v>10106182</v>
      </c>
      <c r="AF186" s="56">
        <f>'Założenia-dane wejściowe '!AH56</f>
        <v>10106182</v>
      </c>
      <c r="AG186" s="56">
        <f>'Założenia-dane wejściowe '!AI56</f>
        <v>10106182</v>
      </c>
    </row>
    <row r="187" spans="1:33" s="140" customFormat="1" ht="13.5" x14ac:dyDescent="0.25">
      <c r="A187" s="189" t="s">
        <v>345</v>
      </c>
      <c r="B187" s="56">
        <f>'Założenia-dane wejściowe '!D57</f>
        <v>554457</v>
      </c>
      <c r="C187" s="56">
        <f>'Założenia-dane wejściowe '!E57</f>
        <v>554457</v>
      </c>
      <c r="D187" s="56">
        <f>'Założenia-dane wejściowe '!F57</f>
        <v>561110</v>
      </c>
      <c r="E187" s="56">
        <f>'Założenia-dane wejściowe '!G57</f>
        <v>561110</v>
      </c>
      <c r="F187" s="56">
        <f>'Założenia-dane wejściowe '!H57</f>
        <v>561110</v>
      </c>
      <c r="G187" s="56">
        <f>'Założenia-dane wejściowe '!I57</f>
        <v>561110</v>
      </c>
      <c r="H187" s="56">
        <f>'Założenia-dane wejściowe '!J57</f>
        <v>561110</v>
      </c>
      <c r="I187" s="56">
        <f>'Założenia-dane wejściowe '!K57</f>
        <v>561110</v>
      </c>
      <c r="J187" s="56">
        <f>'Założenia-dane wejściowe '!L57</f>
        <v>561110</v>
      </c>
      <c r="K187" s="56">
        <f>'Założenia-dane wejściowe '!M57</f>
        <v>561110</v>
      </c>
      <c r="L187" s="56">
        <f>'Założenia-dane wejściowe '!N57</f>
        <v>561110</v>
      </c>
      <c r="M187" s="56">
        <f>'Założenia-dane wejściowe '!O57</f>
        <v>561110</v>
      </c>
      <c r="N187" s="56">
        <f>'Założenia-dane wejściowe '!P57</f>
        <v>561110</v>
      </c>
      <c r="O187" s="56">
        <f>'Założenia-dane wejściowe '!Q57</f>
        <v>561110</v>
      </c>
      <c r="P187" s="56">
        <f>'Założenia-dane wejściowe '!R57</f>
        <v>561110</v>
      </c>
      <c r="Q187" s="56">
        <f>'Założenia-dane wejściowe '!S57</f>
        <v>561110</v>
      </c>
      <c r="R187" s="56">
        <f>'Założenia-dane wejściowe '!T57</f>
        <v>561110</v>
      </c>
      <c r="S187" s="56">
        <f>'Założenia-dane wejściowe '!U57</f>
        <v>561110</v>
      </c>
      <c r="T187" s="56">
        <f>'Założenia-dane wejściowe '!V57</f>
        <v>561110</v>
      </c>
      <c r="U187" s="56">
        <f>'Założenia-dane wejściowe '!W57</f>
        <v>561110</v>
      </c>
      <c r="V187" s="56">
        <f>'Założenia-dane wejściowe '!X57</f>
        <v>561110</v>
      </c>
      <c r="W187" s="56">
        <f>'Założenia-dane wejściowe '!Y57</f>
        <v>561110</v>
      </c>
      <c r="X187" s="56">
        <f>'Założenia-dane wejściowe '!Z57</f>
        <v>561110</v>
      </c>
      <c r="Y187" s="56">
        <f>'Założenia-dane wejściowe '!AA57</f>
        <v>561110</v>
      </c>
      <c r="Z187" s="56">
        <f>'Założenia-dane wejściowe '!AB57</f>
        <v>561110</v>
      </c>
      <c r="AA187" s="56">
        <f>'Założenia-dane wejściowe '!AC57</f>
        <v>561110</v>
      </c>
      <c r="AB187" s="56">
        <f>'Założenia-dane wejściowe '!AD57</f>
        <v>561110</v>
      </c>
      <c r="AC187" s="56">
        <f>'Założenia-dane wejściowe '!AE57</f>
        <v>561110</v>
      </c>
      <c r="AD187" s="56">
        <f>'Założenia-dane wejściowe '!AF57</f>
        <v>561110</v>
      </c>
      <c r="AE187" s="56">
        <f>'Założenia-dane wejściowe '!AG57</f>
        <v>561110</v>
      </c>
      <c r="AF187" s="56">
        <f>'Założenia-dane wejściowe '!AH57</f>
        <v>561110</v>
      </c>
      <c r="AG187" s="56">
        <f>'Założenia-dane wejściowe '!AI57</f>
        <v>561110</v>
      </c>
    </row>
    <row r="188" spans="1:33" s="140" customFormat="1" ht="13.5" x14ac:dyDescent="0.25">
      <c r="A188" s="189" t="s">
        <v>339</v>
      </c>
      <c r="B188" s="56">
        <f>'Założenia-dane wejściowe '!D58</f>
        <v>7275669</v>
      </c>
      <c r="C188" s="56">
        <f>'Założenia-dane wejściowe '!E58</f>
        <v>7275669</v>
      </c>
      <c r="D188" s="56">
        <f>'Założenia-dane wejściowe '!F58</f>
        <v>7362977</v>
      </c>
      <c r="E188" s="56">
        <f>'Założenia-dane wejściowe '!G58</f>
        <v>7362977</v>
      </c>
      <c r="F188" s="56">
        <f>'Założenia-dane wejściowe '!H58</f>
        <v>7362977</v>
      </c>
      <c r="G188" s="56">
        <f>'Założenia-dane wejściowe '!I58</f>
        <v>7362977</v>
      </c>
      <c r="H188" s="56">
        <f>'Założenia-dane wejściowe '!J58</f>
        <v>7362977</v>
      </c>
      <c r="I188" s="56">
        <f>'Założenia-dane wejściowe '!K58</f>
        <v>7362977</v>
      </c>
      <c r="J188" s="56">
        <f>'Założenia-dane wejściowe '!L58</f>
        <v>7362977</v>
      </c>
      <c r="K188" s="56">
        <f>'Założenia-dane wejściowe '!M58</f>
        <v>7362977</v>
      </c>
      <c r="L188" s="56">
        <f>'Założenia-dane wejściowe '!N58</f>
        <v>7362977</v>
      </c>
      <c r="M188" s="56">
        <f>'Założenia-dane wejściowe '!O58</f>
        <v>7362977</v>
      </c>
      <c r="N188" s="56">
        <f>'Założenia-dane wejściowe '!P58</f>
        <v>7362977</v>
      </c>
      <c r="O188" s="56">
        <f>'Założenia-dane wejściowe '!Q58</f>
        <v>7362977</v>
      </c>
      <c r="P188" s="56">
        <f>'Założenia-dane wejściowe '!R58</f>
        <v>7362977</v>
      </c>
      <c r="Q188" s="56">
        <f>'Założenia-dane wejściowe '!S58</f>
        <v>7362977</v>
      </c>
      <c r="R188" s="56">
        <f>'Założenia-dane wejściowe '!T58</f>
        <v>7362977</v>
      </c>
      <c r="S188" s="56">
        <f>'Założenia-dane wejściowe '!U58</f>
        <v>7362977</v>
      </c>
      <c r="T188" s="56">
        <f>'Założenia-dane wejściowe '!V58</f>
        <v>7362977</v>
      </c>
      <c r="U188" s="56">
        <f>'Założenia-dane wejściowe '!W58</f>
        <v>7362977</v>
      </c>
      <c r="V188" s="56">
        <f>'Założenia-dane wejściowe '!X58</f>
        <v>7362977</v>
      </c>
      <c r="W188" s="56">
        <f>'Założenia-dane wejściowe '!Y58</f>
        <v>7362977</v>
      </c>
      <c r="X188" s="56">
        <f>'Założenia-dane wejściowe '!Z58</f>
        <v>7362977</v>
      </c>
      <c r="Y188" s="56">
        <f>'Założenia-dane wejściowe '!AA58</f>
        <v>7362977</v>
      </c>
      <c r="Z188" s="56">
        <f>'Założenia-dane wejściowe '!AB58</f>
        <v>7362977</v>
      </c>
      <c r="AA188" s="56">
        <f>'Założenia-dane wejściowe '!AC58</f>
        <v>7362977</v>
      </c>
      <c r="AB188" s="56">
        <f>'Założenia-dane wejściowe '!AD58</f>
        <v>7362977</v>
      </c>
      <c r="AC188" s="56">
        <f>'Założenia-dane wejściowe '!AE58</f>
        <v>7362977</v>
      </c>
      <c r="AD188" s="56">
        <f>'Założenia-dane wejściowe '!AF58</f>
        <v>7362977</v>
      </c>
      <c r="AE188" s="56">
        <f>'Założenia-dane wejściowe '!AG58</f>
        <v>7362977</v>
      </c>
      <c r="AF188" s="56">
        <f>'Założenia-dane wejściowe '!AH58</f>
        <v>7362977</v>
      </c>
      <c r="AG188" s="56">
        <f>'Założenia-dane wejściowe '!AI58</f>
        <v>7362977</v>
      </c>
    </row>
    <row r="189" spans="1:33" s="140" customFormat="1" ht="13.5" x14ac:dyDescent="0.2">
      <c r="A189" s="176" t="s">
        <v>83</v>
      </c>
      <c r="B189" s="192">
        <f>SUM(B181:B188)</f>
        <v>64352695</v>
      </c>
      <c r="C189" s="192">
        <f t="shared" ref="C189:AG189" si="96">SUM(C181:C188)</f>
        <v>64488151</v>
      </c>
      <c r="D189" s="192">
        <f t="shared" si="96"/>
        <v>65190329</v>
      </c>
      <c r="E189" s="192">
        <f t="shared" si="96"/>
        <v>65190329</v>
      </c>
      <c r="F189" s="192">
        <f t="shared" si="96"/>
        <v>65190329</v>
      </c>
      <c r="G189" s="192">
        <f t="shared" si="96"/>
        <v>65190329</v>
      </c>
      <c r="H189" s="192">
        <f t="shared" si="96"/>
        <v>65190329</v>
      </c>
      <c r="I189" s="192">
        <f t="shared" si="96"/>
        <v>65190329</v>
      </c>
      <c r="J189" s="192">
        <f t="shared" si="96"/>
        <v>65190329</v>
      </c>
      <c r="K189" s="192">
        <f t="shared" si="96"/>
        <v>65190329</v>
      </c>
      <c r="L189" s="192">
        <f t="shared" si="96"/>
        <v>65190329</v>
      </c>
      <c r="M189" s="192">
        <f t="shared" si="96"/>
        <v>65190329</v>
      </c>
      <c r="N189" s="192">
        <f t="shared" si="96"/>
        <v>65190329</v>
      </c>
      <c r="O189" s="192">
        <f t="shared" si="96"/>
        <v>65190329</v>
      </c>
      <c r="P189" s="192">
        <f t="shared" si="96"/>
        <v>65190329</v>
      </c>
      <c r="Q189" s="192">
        <f t="shared" si="96"/>
        <v>65190329</v>
      </c>
      <c r="R189" s="192">
        <f t="shared" si="96"/>
        <v>65190329</v>
      </c>
      <c r="S189" s="192">
        <f t="shared" si="96"/>
        <v>65190329</v>
      </c>
      <c r="T189" s="192">
        <f t="shared" si="96"/>
        <v>65190329</v>
      </c>
      <c r="U189" s="192">
        <f t="shared" si="96"/>
        <v>65190329</v>
      </c>
      <c r="V189" s="192">
        <f t="shared" si="96"/>
        <v>65190329</v>
      </c>
      <c r="W189" s="192">
        <f t="shared" si="96"/>
        <v>65190329</v>
      </c>
      <c r="X189" s="192">
        <f t="shared" si="96"/>
        <v>65190329</v>
      </c>
      <c r="Y189" s="192">
        <f t="shared" si="96"/>
        <v>65190329</v>
      </c>
      <c r="Z189" s="192">
        <f t="shared" si="96"/>
        <v>65190329</v>
      </c>
      <c r="AA189" s="192">
        <f t="shared" si="96"/>
        <v>65190329</v>
      </c>
      <c r="AB189" s="192">
        <f t="shared" si="96"/>
        <v>65190329</v>
      </c>
      <c r="AC189" s="192">
        <f t="shared" si="96"/>
        <v>65190329</v>
      </c>
      <c r="AD189" s="192">
        <f t="shared" si="96"/>
        <v>65190329</v>
      </c>
      <c r="AE189" s="192">
        <f t="shared" si="96"/>
        <v>65190329</v>
      </c>
      <c r="AF189" s="192">
        <f t="shared" si="96"/>
        <v>65190329</v>
      </c>
      <c r="AG189" s="192">
        <f t="shared" si="96"/>
        <v>65190329</v>
      </c>
    </row>
    <row r="190" spans="1:33" hidden="1" x14ac:dyDescent="0.2">
      <c r="A190" s="239"/>
      <c r="B190" s="240"/>
    </row>
    <row r="191" spans="1:33" ht="15.75" x14ac:dyDescent="0.2">
      <c r="A191" s="233" t="s">
        <v>409</v>
      </c>
      <c r="B191" s="240"/>
    </row>
    <row r="192" spans="1:33" s="140" customFormat="1" ht="13.5" x14ac:dyDescent="0.25">
      <c r="A192" s="184" t="s">
        <v>81</v>
      </c>
      <c r="B192" s="187">
        <f>B168</f>
        <v>2013</v>
      </c>
      <c r="C192" s="187">
        <f>B192+1</f>
        <v>2014</v>
      </c>
      <c r="D192" s="187">
        <f t="shared" ref="D192:AG192" si="97">C192+1</f>
        <v>2015</v>
      </c>
      <c r="E192" s="187">
        <f t="shared" si="97"/>
        <v>2016</v>
      </c>
      <c r="F192" s="187">
        <f t="shared" si="97"/>
        <v>2017</v>
      </c>
      <c r="G192" s="187">
        <f t="shared" si="97"/>
        <v>2018</v>
      </c>
      <c r="H192" s="187">
        <f t="shared" si="97"/>
        <v>2019</v>
      </c>
      <c r="I192" s="187">
        <f t="shared" si="97"/>
        <v>2020</v>
      </c>
      <c r="J192" s="187">
        <f t="shared" si="97"/>
        <v>2021</v>
      </c>
      <c r="K192" s="187">
        <f t="shared" si="97"/>
        <v>2022</v>
      </c>
      <c r="L192" s="187">
        <f t="shared" si="97"/>
        <v>2023</v>
      </c>
      <c r="M192" s="187">
        <f t="shared" si="97"/>
        <v>2024</v>
      </c>
      <c r="N192" s="187">
        <f t="shared" si="97"/>
        <v>2025</v>
      </c>
      <c r="O192" s="187">
        <f t="shared" si="97"/>
        <v>2026</v>
      </c>
      <c r="P192" s="187">
        <f t="shared" si="97"/>
        <v>2027</v>
      </c>
      <c r="Q192" s="187">
        <f t="shared" si="97"/>
        <v>2028</v>
      </c>
      <c r="R192" s="187">
        <f t="shared" si="97"/>
        <v>2029</v>
      </c>
      <c r="S192" s="187">
        <f t="shared" si="97"/>
        <v>2030</v>
      </c>
      <c r="T192" s="187">
        <f t="shared" si="97"/>
        <v>2031</v>
      </c>
      <c r="U192" s="187">
        <f t="shared" si="97"/>
        <v>2032</v>
      </c>
      <c r="V192" s="187">
        <f t="shared" si="97"/>
        <v>2033</v>
      </c>
      <c r="W192" s="187">
        <f t="shared" si="97"/>
        <v>2034</v>
      </c>
      <c r="X192" s="187">
        <f t="shared" si="97"/>
        <v>2035</v>
      </c>
      <c r="Y192" s="187">
        <f t="shared" si="97"/>
        <v>2036</v>
      </c>
      <c r="Z192" s="187">
        <f t="shared" si="97"/>
        <v>2037</v>
      </c>
      <c r="AA192" s="187">
        <f t="shared" si="97"/>
        <v>2038</v>
      </c>
      <c r="AB192" s="187">
        <f t="shared" si="97"/>
        <v>2039</v>
      </c>
      <c r="AC192" s="187">
        <f t="shared" si="97"/>
        <v>2040</v>
      </c>
      <c r="AD192" s="187">
        <f t="shared" si="97"/>
        <v>2041</v>
      </c>
      <c r="AE192" s="187">
        <f t="shared" si="97"/>
        <v>2042</v>
      </c>
      <c r="AF192" s="187">
        <f t="shared" si="97"/>
        <v>2043</v>
      </c>
      <c r="AG192" s="187">
        <f t="shared" si="97"/>
        <v>2044</v>
      </c>
    </row>
    <row r="193" spans="1:33" s="140" customFormat="1" ht="13.5" x14ac:dyDescent="0.25">
      <c r="A193" s="189" t="s">
        <v>82</v>
      </c>
      <c r="B193" s="56">
        <f>'Założenia-dane wejściowe '!D71</f>
        <v>21219389</v>
      </c>
      <c r="C193" s="56">
        <f>'Założenia-dane wejściowe '!E71</f>
        <v>21219389</v>
      </c>
      <c r="D193" s="56">
        <f>'Założenia-dane wejściowe '!F71</f>
        <v>21219389</v>
      </c>
      <c r="E193" s="56">
        <f>'Założenia-dane wejściowe '!G71</f>
        <v>21219389</v>
      </c>
      <c r="F193" s="56">
        <f>'Założenia-dane wejściowe '!H71</f>
        <v>21219389</v>
      </c>
      <c r="G193" s="56">
        <f>'Założenia-dane wejściowe '!I71</f>
        <v>21219389</v>
      </c>
      <c r="H193" s="56">
        <f>'Założenia-dane wejściowe '!J71</f>
        <v>21219389</v>
      </c>
      <c r="I193" s="56">
        <f>'Założenia-dane wejściowe '!K71</f>
        <v>21219389</v>
      </c>
      <c r="J193" s="56">
        <f>'Założenia-dane wejściowe '!L71</f>
        <v>26359696.875</v>
      </c>
      <c r="K193" s="56">
        <f>'Założenia-dane wejściowe '!M71</f>
        <v>26359696.875</v>
      </c>
      <c r="L193" s="56">
        <f>'Założenia-dane wejściowe '!N71</f>
        <v>26359696.875</v>
      </c>
      <c r="M193" s="56">
        <f>'Założenia-dane wejściowe '!O71</f>
        <v>26359696.875</v>
      </c>
      <c r="N193" s="56">
        <f>'Założenia-dane wejściowe '!P71</f>
        <v>26359696.875</v>
      </c>
      <c r="O193" s="56">
        <f>'Założenia-dane wejściowe '!Q71</f>
        <v>26359696.875</v>
      </c>
      <c r="P193" s="56">
        <f>'Założenia-dane wejściowe '!R71</f>
        <v>26359696.875</v>
      </c>
      <c r="Q193" s="56">
        <f>'Założenia-dane wejściowe '!S71</f>
        <v>26359696.875</v>
      </c>
      <c r="R193" s="56">
        <f>'Założenia-dane wejściowe '!T71</f>
        <v>26359696.875</v>
      </c>
      <c r="S193" s="56">
        <f>'Założenia-dane wejściowe '!U71</f>
        <v>26359696.875</v>
      </c>
      <c r="T193" s="56">
        <f>'Założenia-dane wejściowe '!V71</f>
        <v>26606734.768750001</v>
      </c>
      <c r="U193" s="56">
        <f>'Założenia-dane wejściowe '!W71</f>
        <v>26606734.768750001</v>
      </c>
      <c r="V193" s="56">
        <f>'Założenia-dane wejściowe '!X71</f>
        <v>26606734.768750001</v>
      </c>
      <c r="W193" s="56">
        <f>'Założenia-dane wejściowe '!Y71</f>
        <v>26606734.768750001</v>
      </c>
      <c r="X193" s="56">
        <f>'Założenia-dane wejściowe '!Z71</f>
        <v>26606734.768750001</v>
      </c>
      <c r="Y193" s="56">
        <f>'Założenia-dane wejściowe '!AA71</f>
        <v>26853772.662500001</v>
      </c>
      <c r="Z193" s="56">
        <f>'Założenia-dane wejściowe '!AB71</f>
        <v>26853772.662500001</v>
      </c>
      <c r="AA193" s="56">
        <f>'Założenia-dane wejściowe '!AC71</f>
        <v>26853772.662500001</v>
      </c>
      <c r="AB193" s="56">
        <f>'Założenia-dane wejściowe '!AD71</f>
        <v>26853772.662500001</v>
      </c>
      <c r="AC193" s="56">
        <f>'Założenia-dane wejściowe '!AE71</f>
        <v>26853772.662500001</v>
      </c>
      <c r="AD193" s="56">
        <f>'Założenia-dane wejściowe '!AF71</f>
        <v>27100810.556249999</v>
      </c>
      <c r="AE193" s="56">
        <f>'Założenia-dane wejściowe '!AG71</f>
        <v>27100810.556249999</v>
      </c>
      <c r="AF193" s="56">
        <f>'Założenia-dane wejściowe '!AH71</f>
        <v>27100810.556249999</v>
      </c>
      <c r="AG193" s="56">
        <f>'Założenia-dane wejściowe '!AI71</f>
        <v>27100810.556249999</v>
      </c>
    </row>
    <row r="194" spans="1:33" s="140" customFormat="1" ht="13.5" x14ac:dyDescent="0.25">
      <c r="A194" s="190" t="s">
        <v>340</v>
      </c>
      <c r="B194" s="56">
        <f>'Założenia-dane wejściowe '!D72</f>
        <v>16344521</v>
      </c>
      <c r="C194" s="56">
        <f>'Założenia-dane wejściowe '!E72</f>
        <v>16524311</v>
      </c>
      <c r="D194" s="56">
        <f>'Założenia-dane wejściowe '!F72</f>
        <v>16887846</v>
      </c>
      <c r="E194" s="56">
        <f>'Założenia-dane wejściowe '!G72</f>
        <v>17181846</v>
      </c>
      <c r="F194" s="56">
        <f>'Założenia-dane wejściowe '!H72</f>
        <v>17181846</v>
      </c>
      <c r="G194" s="56">
        <f>'Założenia-dane wejściowe '!I72</f>
        <v>17181846</v>
      </c>
      <c r="H194" s="56">
        <f>'Założenia-dane wejściowe '!J72</f>
        <v>17181846</v>
      </c>
      <c r="I194" s="56">
        <f>'Założenia-dane wejściowe '!K72</f>
        <v>17181846</v>
      </c>
      <c r="J194" s="56">
        <f>'Założenia-dane wejściowe '!L72</f>
        <v>17181846</v>
      </c>
      <c r="K194" s="56">
        <f>'Założenia-dane wejściowe '!M72</f>
        <v>17181846</v>
      </c>
      <c r="L194" s="56">
        <f>'Założenia-dane wejściowe '!N72</f>
        <v>17181846</v>
      </c>
      <c r="M194" s="56">
        <f>'Założenia-dane wejściowe '!O72</f>
        <v>17181846</v>
      </c>
      <c r="N194" s="56">
        <f>'Założenia-dane wejściowe '!P72</f>
        <v>17181846</v>
      </c>
      <c r="O194" s="56">
        <f>'Założenia-dane wejściowe '!Q72</f>
        <v>17181846</v>
      </c>
      <c r="P194" s="56">
        <f>'Założenia-dane wejściowe '!R72</f>
        <v>17181846</v>
      </c>
      <c r="Q194" s="56">
        <f>'Założenia-dane wejściowe '!S72</f>
        <v>17181846</v>
      </c>
      <c r="R194" s="56">
        <f>'Założenia-dane wejściowe '!T72</f>
        <v>17181846</v>
      </c>
      <c r="S194" s="56">
        <f>'Założenia-dane wejściowe '!U72</f>
        <v>17181846</v>
      </c>
      <c r="T194" s="56">
        <f>'Założenia-dane wejściowe '!V72</f>
        <v>17181846</v>
      </c>
      <c r="U194" s="56">
        <f>'Założenia-dane wejściowe '!W72</f>
        <v>17181846</v>
      </c>
      <c r="V194" s="56">
        <f>'Założenia-dane wejściowe '!X72</f>
        <v>17181846</v>
      </c>
      <c r="W194" s="56">
        <f>'Założenia-dane wejściowe '!Y72</f>
        <v>17181846</v>
      </c>
      <c r="X194" s="56">
        <f>'Założenia-dane wejściowe '!Z72</f>
        <v>17181846</v>
      </c>
      <c r="Y194" s="56">
        <f>'Założenia-dane wejściowe '!AA72</f>
        <v>17181846</v>
      </c>
      <c r="Z194" s="56">
        <f>'Założenia-dane wejściowe '!AB72</f>
        <v>17181846</v>
      </c>
      <c r="AA194" s="56">
        <f>'Założenia-dane wejściowe '!AC72</f>
        <v>17181846</v>
      </c>
      <c r="AB194" s="56">
        <f>'Założenia-dane wejściowe '!AD72</f>
        <v>17181846</v>
      </c>
      <c r="AC194" s="56">
        <f>'Założenia-dane wejściowe '!AE72</f>
        <v>17181846</v>
      </c>
      <c r="AD194" s="56">
        <f>'Założenia-dane wejściowe '!AF72</f>
        <v>17181846</v>
      </c>
      <c r="AE194" s="56">
        <f>'Założenia-dane wejściowe '!AG72</f>
        <v>17181846</v>
      </c>
      <c r="AF194" s="56">
        <f>'Założenia-dane wejściowe '!AH72</f>
        <v>17181846</v>
      </c>
      <c r="AG194" s="56">
        <f>'Założenia-dane wejściowe '!AI72</f>
        <v>17181846</v>
      </c>
    </row>
    <row r="195" spans="1:33" s="140" customFormat="1" ht="13.5" x14ac:dyDescent="0.25">
      <c r="A195" s="189" t="s">
        <v>341</v>
      </c>
      <c r="B195" s="56">
        <f>'Założenia-dane wejściowe '!D73</f>
        <v>4357398</v>
      </c>
      <c r="C195" s="56">
        <f>'Założenia-dane wejściowe '!E73</f>
        <v>4357398</v>
      </c>
      <c r="D195" s="56">
        <f>'Założenia-dane wejściowe '!F73</f>
        <v>4409687</v>
      </c>
      <c r="E195" s="56">
        <f>'Założenia-dane wejściowe '!G73</f>
        <v>4409687</v>
      </c>
      <c r="F195" s="56">
        <f>'Założenia-dane wejściowe '!H73</f>
        <v>4409687</v>
      </c>
      <c r="G195" s="56">
        <f>'Założenia-dane wejściowe '!I73</f>
        <v>4409687</v>
      </c>
      <c r="H195" s="56">
        <f>'Założenia-dane wejściowe '!J73</f>
        <v>4409687</v>
      </c>
      <c r="I195" s="56">
        <f>'Założenia-dane wejściowe '!K73</f>
        <v>4409687</v>
      </c>
      <c r="J195" s="56">
        <f>'Założenia-dane wejściowe '!L73</f>
        <v>4798348</v>
      </c>
      <c r="K195" s="56">
        <f>'Założenia-dane wejściowe '!M73</f>
        <v>4798348</v>
      </c>
      <c r="L195" s="56">
        <f>'Założenia-dane wejściowe '!N73</f>
        <v>4798348</v>
      </c>
      <c r="M195" s="56">
        <f>'Założenia-dane wejściowe '!O73</f>
        <v>4798348</v>
      </c>
      <c r="N195" s="56">
        <f>'Założenia-dane wejściowe '!P73</f>
        <v>4798348</v>
      </c>
      <c r="O195" s="56">
        <f>'Założenia-dane wejściowe '!Q73</f>
        <v>4798348</v>
      </c>
      <c r="P195" s="56">
        <f>'Założenia-dane wejściowe '!R73</f>
        <v>4798348</v>
      </c>
      <c r="Q195" s="56">
        <f>'Założenia-dane wejściowe '!S73</f>
        <v>4798348</v>
      </c>
      <c r="R195" s="56">
        <f>'Założenia-dane wejściowe '!T73</f>
        <v>4798348</v>
      </c>
      <c r="S195" s="56">
        <f>'Założenia-dane wejściowe '!U73</f>
        <v>4798348</v>
      </c>
      <c r="T195" s="56">
        <f>'Założenia-dane wejściowe '!V73</f>
        <v>4798348</v>
      </c>
      <c r="U195" s="56">
        <f>'Założenia-dane wejściowe '!W73</f>
        <v>4798348</v>
      </c>
      <c r="V195" s="56">
        <f>'Założenia-dane wejściowe '!X73</f>
        <v>4798348</v>
      </c>
      <c r="W195" s="56">
        <f>'Założenia-dane wejściowe '!Y73</f>
        <v>4798348</v>
      </c>
      <c r="X195" s="56">
        <f>'Założenia-dane wejściowe '!Z73</f>
        <v>4798348</v>
      </c>
      <c r="Y195" s="56">
        <f>'Założenia-dane wejściowe '!AA73</f>
        <v>4798348</v>
      </c>
      <c r="Z195" s="56">
        <f>'Założenia-dane wejściowe '!AB73</f>
        <v>4798348</v>
      </c>
      <c r="AA195" s="56">
        <f>'Założenia-dane wejściowe '!AC73</f>
        <v>4798348</v>
      </c>
      <c r="AB195" s="56">
        <f>'Założenia-dane wejściowe '!AD73</f>
        <v>4798348</v>
      </c>
      <c r="AC195" s="56">
        <f>'Założenia-dane wejściowe '!AE73</f>
        <v>4798348</v>
      </c>
      <c r="AD195" s="56">
        <f>'Założenia-dane wejściowe '!AF73</f>
        <v>4798348</v>
      </c>
      <c r="AE195" s="56">
        <f>'Założenia-dane wejściowe '!AG73</f>
        <v>4798348</v>
      </c>
      <c r="AF195" s="56">
        <f>'Założenia-dane wejściowe '!AH73</f>
        <v>4798348</v>
      </c>
      <c r="AG195" s="56">
        <f>'Założenia-dane wejściowe '!AI73</f>
        <v>4798348</v>
      </c>
    </row>
    <row r="196" spans="1:33" s="140" customFormat="1" ht="13.5" x14ac:dyDescent="0.25">
      <c r="A196" s="189" t="s">
        <v>342</v>
      </c>
      <c r="B196" s="56">
        <f>'Założenia-dane wejściowe '!D74</f>
        <v>6156175</v>
      </c>
      <c r="C196" s="56">
        <f>'Założenia-dane wejściowe '!E74</f>
        <v>6156175</v>
      </c>
      <c r="D196" s="56">
        <f>'Założenia-dane wejściowe '!F74</f>
        <v>6230049</v>
      </c>
      <c r="E196" s="56">
        <f>'Założenia-dane wejściowe '!G74</f>
        <v>6230049</v>
      </c>
      <c r="F196" s="56">
        <f>'Założenia-dane wejściowe '!H74</f>
        <v>6230049</v>
      </c>
      <c r="G196" s="56">
        <f>'Założenia-dane wejściowe '!I74</f>
        <v>6230049</v>
      </c>
      <c r="H196" s="56">
        <f>'Założenia-dane wejściowe '!J74</f>
        <v>6230049</v>
      </c>
      <c r="I196" s="56">
        <f>'Założenia-dane wejściowe '!K74</f>
        <v>6230049</v>
      </c>
      <c r="J196" s="56">
        <f>'Założenia-dane wejściowe '!L74</f>
        <v>6776604</v>
      </c>
      <c r="K196" s="56">
        <f>'Założenia-dane wejściowe '!M74</f>
        <v>6776604</v>
      </c>
      <c r="L196" s="56">
        <f>'Założenia-dane wejściowe '!N74</f>
        <v>6776604</v>
      </c>
      <c r="M196" s="56">
        <f>'Założenia-dane wejściowe '!O74</f>
        <v>6776604</v>
      </c>
      <c r="N196" s="56">
        <f>'Założenia-dane wejściowe '!P74</f>
        <v>6776604</v>
      </c>
      <c r="O196" s="56">
        <f>'Założenia-dane wejściowe '!Q74</f>
        <v>6776604</v>
      </c>
      <c r="P196" s="56">
        <f>'Założenia-dane wejściowe '!R74</f>
        <v>6776604</v>
      </c>
      <c r="Q196" s="56">
        <f>'Założenia-dane wejściowe '!S74</f>
        <v>6776604</v>
      </c>
      <c r="R196" s="56">
        <f>'Założenia-dane wejściowe '!T74</f>
        <v>6776604</v>
      </c>
      <c r="S196" s="56">
        <f>'Założenia-dane wejściowe '!U74</f>
        <v>6776604</v>
      </c>
      <c r="T196" s="56">
        <f>'Założenia-dane wejściowe '!V74</f>
        <v>6776604</v>
      </c>
      <c r="U196" s="56">
        <f>'Założenia-dane wejściowe '!W74</f>
        <v>6776604</v>
      </c>
      <c r="V196" s="56">
        <f>'Założenia-dane wejściowe '!X74</f>
        <v>6776604</v>
      </c>
      <c r="W196" s="56">
        <f>'Założenia-dane wejściowe '!Y74</f>
        <v>6776604</v>
      </c>
      <c r="X196" s="56">
        <f>'Założenia-dane wejściowe '!Z74</f>
        <v>6776604</v>
      </c>
      <c r="Y196" s="56">
        <f>'Założenia-dane wejściowe '!AA74</f>
        <v>6776604</v>
      </c>
      <c r="Z196" s="56">
        <f>'Założenia-dane wejściowe '!AB74</f>
        <v>6776604</v>
      </c>
      <c r="AA196" s="56">
        <f>'Założenia-dane wejściowe '!AC74</f>
        <v>6776604</v>
      </c>
      <c r="AB196" s="56">
        <f>'Założenia-dane wejściowe '!AD74</f>
        <v>6776604</v>
      </c>
      <c r="AC196" s="56">
        <f>'Założenia-dane wejściowe '!AE74</f>
        <v>6776604</v>
      </c>
      <c r="AD196" s="56">
        <f>'Założenia-dane wejściowe '!AF74</f>
        <v>6776604</v>
      </c>
      <c r="AE196" s="56">
        <f>'Założenia-dane wejściowe '!AG74</f>
        <v>6776604</v>
      </c>
      <c r="AF196" s="56">
        <f>'Założenia-dane wejściowe '!AH74</f>
        <v>6776604</v>
      </c>
      <c r="AG196" s="56">
        <f>'Założenia-dane wejściowe '!AI74</f>
        <v>6776604</v>
      </c>
    </row>
    <row r="197" spans="1:33" s="140" customFormat="1" ht="13.5" x14ac:dyDescent="0.25">
      <c r="A197" s="189" t="s">
        <v>343</v>
      </c>
      <c r="B197" s="56">
        <f>'Założenia-dane wejściowe '!D75</f>
        <v>7888143</v>
      </c>
      <c r="C197" s="56">
        <f>'Założenia-dane wejściowe '!E75</f>
        <v>7888143</v>
      </c>
      <c r="D197" s="56">
        <f>'Założenia-dane wejściowe '!F75</f>
        <v>7982801</v>
      </c>
      <c r="E197" s="56">
        <f>'Założenia-dane wejściowe '!G75</f>
        <v>7982801</v>
      </c>
      <c r="F197" s="56">
        <f>'Założenia-dane wejściowe '!H75</f>
        <v>7982801</v>
      </c>
      <c r="G197" s="56">
        <f>'Założenia-dane wejściowe '!I75</f>
        <v>7982801</v>
      </c>
      <c r="H197" s="56">
        <f>'Założenia-dane wejściowe '!J75</f>
        <v>7982801</v>
      </c>
      <c r="I197" s="56">
        <f>'Założenia-dane wejściowe '!K75</f>
        <v>7982801</v>
      </c>
      <c r="J197" s="56">
        <f>'Założenia-dane wejściowe '!L75</f>
        <v>12095047.300000001</v>
      </c>
      <c r="K197" s="56">
        <f>'Założenia-dane wejściowe '!M75</f>
        <v>12095047.300000001</v>
      </c>
      <c r="L197" s="56">
        <f>'Założenia-dane wejściowe '!N75</f>
        <v>12095047.300000001</v>
      </c>
      <c r="M197" s="56">
        <f>'Założenia-dane wejściowe '!O75</f>
        <v>12095047.300000001</v>
      </c>
      <c r="N197" s="56">
        <f>'Założenia-dane wejściowe '!P75</f>
        <v>12095047.300000001</v>
      </c>
      <c r="O197" s="56">
        <f>'Założenia-dane wejściowe '!Q75</f>
        <v>12095047.300000001</v>
      </c>
      <c r="P197" s="56">
        <f>'Założenia-dane wejściowe '!R75</f>
        <v>12095047.300000001</v>
      </c>
      <c r="Q197" s="56">
        <f>'Założenia-dane wejściowe '!S75</f>
        <v>12095047.300000001</v>
      </c>
      <c r="R197" s="56">
        <f>'Założenia-dane wejściowe '!T75</f>
        <v>12095047.300000001</v>
      </c>
      <c r="S197" s="56">
        <f>'Założenia-dane wejściowe '!U75</f>
        <v>12095047.300000001</v>
      </c>
      <c r="T197" s="56">
        <f>'Założenia-dane wejściowe '!V75</f>
        <v>12095047.300000001</v>
      </c>
      <c r="U197" s="56">
        <f>'Założenia-dane wejściowe '!W75</f>
        <v>12095047.300000001</v>
      </c>
      <c r="V197" s="56">
        <f>'Założenia-dane wejściowe '!X75</f>
        <v>12095047.300000001</v>
      </c>
      <c r="W197" s="56">
        <f>'Założenia-dane wejściowe '!Y75</f>
        <v>12095047.300000001</v>
      </c>
      <c r="X197" s="56">
        <f>'Założenia-dane wejściowe '!Z75</f>
        <v>12095047.300000001</v>
      </c>
      <c r="Y197" s="56">
        <f>'Założenia-dane wejściowe '!AA75</f>
        <v>12095047.300000001</v>
      </c>
      <c r="Z197" s="56">
        <f>'Założenia-dane wejściowe '!AB75</f>
        <v>12095047.300000001</v>
      </c>
      <c r="AA197" s="56">
        <f>'Założenia-dane wejściowe '!AC75</f>
        <v>12095047.300000001</v>
      </c>
      <c r="AB197" s="56">
        <f>'Założenia-dane wejściowe '!AD75</f>
        <v>12095047.300000001</v>
      </c>
      <c r="AC197" s="56">
        <f>'Założenia-dane wejściowe '!AE75</f>
        <v>12095047.300000001</v>
      </c>
      <c r="AD197" s="56">
        <f>'Założenia-dane wejściowe '!AF75</f>
        <v>12095047.300000001</v>
      </c>
      <c r="AE197" s="56">
        <f>'Założenia-dane wejściowe '!AG75</f>
        <v>12095047.300000001</v>
      </c>
      <c r="AF197" s="56">
        <f>'Założenia-dane wejściowe '!AH75</f>
        <v>12095047.300000001</v>
      </c>
      <c r="AG197" s="56">
        <f>'Założenia-dane wejściowe '!AI75</f>
        <v>12095047.300000001</v>
      </c>
    </row>
    <row r="198" spans="1:33" s="140" customFormat="1" ht="13.5" x14ac:dyDescent="0.25">
      <c r="A198" s="189" t="s">
        <v>344</v>
      </c>
      <c r="B198" s="56">
        <f>'Założenia-dane wejściowe '!D76</f>
        <v>2647788</v>
      </c>
      <c r="C198" s="56">
        <f>'Założenia-dane wejściowe '!E76</f>
        <v>2647788</v>
      </c>
      <c r="D198" s="56">
        <f>'Założenia-dane wejściowe '!F76</f>
        <v>2679561</v>
      </c>
      <c r="E198" s="56">
        <f>'Założenia-dane wejściowe '!G76</f>
        <v>2679561</v>
      </c>
      <c r="F198" s="56">
        <f>'Założenia-dane wejściowe '!H76</f>
        <v>2679561</v>
      </c>
      <c r="G198" s="56">
        <f>'Założenia-dane wejściowe '!I76</f>
        <v>2679561</v>
      </c>
      <c r="H198" s="56">
        <f>'Założenia-dane wejściowe '!J76</f>
        <v>2679561</v>
      </c>
      <c r="I198" s="56">
        <f>'Założenia-dane wejściowe '!K76</f>
        <v>2679561</v>
      </c>
      <c r="J198" s="56">
        <f>'Założenia-dane wejściowe '!L76</f>
        <v>2922474</v>
      </c>
      <c r="K198" s="56">
        <f>'Założenia-dane wejściowe '!M76</f>
        <v>2922474</v>
      </c>
      <c r="L198" s="56">
        <f>'Założenia-dane wejściowe '!N76</f>
        <v>2922474</v>
      </c>
      <c r="M198" s="56">
        <f>'Założenia-dane wejściowe '!O76</f>
        <v>2922474</v>
      </c>
      <c r="N198" s="56">
        <f>'Założenia-dane wejściowe '!P76</f>
        <v>2922474</v>
      </c>
      <c r="O198" s="56">
        <f>'Założenia-dane wejściowe '!Q76</f>
        <v>2922474</v>
      </c>
      <c r="P198" s="56">
        <f>'Założenia-dane wejściowe '!R76</f>
        <v>2922474</v>
      </c>
      <c r="Q198" s="56">
        <f>'Założenia-dane wejściowe '!S76</f>
        <v>2922474</v>
      </c>
      <c r="R198" s="56">
        <f>'Założenia-dane wejściowe '!T76</f>
        <v>2922474</v>
      </c>
      <c r="S198" s="56">
        <f>'Założenia-dane wejściowe '!U76</f>
        <v>2922474</v>
      </c>
      <c r="T198" s="56">
        <f>'Założenia-dane wejściowe '!V76</f>
        <v>2922474</v>
      </c>
      <c r="U198" s="56">
        <f>'Założenia-dane wejściowe '!W76</f>
        <v>2922474</v>
      </c>
      <c r="V198" s="56">
        <f>'Założenia-dane wejściowe '!X76</f>
        <v>2922474</v>
      </c>
      <c r="W198" s="56">
        <f>'Założenia-dane wejściowe '!Y76</f>
        <v>2922474</v>
      </c>
      <c r="X198" s="56">
        <f>'Założenia-dane wejściowe '!Z76</f>
        <v>2922474</v>
      </c>
      <c r="Y198" s="56">
        <f>'Założenia-dane wejściowe '!AA76</f>
        <v>2922474</v>
      </c>
      <c r="Z198" s="56">
        <f>'Założenia-dane wejściowe '!AB76</f>
        <v>2922474</v>
      </c>
      <c r="AA198" s="56">
        <f>'Założenia-dane wejściowe '!AC76</f>
        <v>2922474</v>
      </c>
      <c r="AB198" s="56">
        <f>'Założenia-dane wejściowe '!AD76</f>
        <v>2922474</v>
      </c>
      <c r="AC198" s="56">
        <f>'Założenia-dane wejściowe '!AE76</f>
        <v>2922474</v>
      </c>
      <c r="AD198" s="56">
        <f>'Założenia-dane wejściowe '!AF76</f>
        <v>2922474</v>
      </c>
      <c r="AE198" s="56">
        <f>'Założenia-dane wejściowe '!AG76</f>
        <v>2922474</v>
      </c>
      <c r="AF198" s="56">
        <f>'Założenia-dane wejściowe '!AH76</f>
        <v>2922474</v>
      </c>
      <c r="AG198" s="56">
        <f>'Założenia-dane wejściowe '!AI76</f>
        <v>2922474</v>
      </c>
    </row>
    <row r="199" spans="1:33" s="140" customFormat="1" ht="13.5" x14ac:dyDescent="0.25">
      <c r="A199" s="189" t="s">
        <v>345</v>
      </c>
      <c r="B199" s="56">
        <f>'Założenia-dane wejściowe '!D77</f>
        <v>472197</v>
      </c>
      <c r="C199" s="56">
        <f>'Założenia-dane wejściowe '!E77</f>
        <v>472197</v>
      </c>
      <c r="D199" s="56">
        <f>'Założenia-dane wejściowe '!F77</f>
        <v>477863</v>
      </c>
      <c r="E199" s="56">
        <f>'Założenia-dane wejściowe '!G77</f>
        <v>477863</v>
      </c>
      <c r="F199" s="56">
        <f>'Założenia-dane wejściowe '!H77</f>
        <v>477863</v>
      </c>
      <c r="G199" s="56">
        <f>'Założenia-dane wejściowe '!I77</f>
        <v>477863</v>
      </c>
      <c r="H199" s="56">
        <f>'Założenia-dane wejściowe '!J77</f>
        <v>477863</v>
      </c>
      <c r="I199" s="56">
        <f>'Założenia-dane wejściowe '!K77</f>
        <v>477863</v>
      </c>
      <c r="J199" s="56">
        <f>'Założenia-dane wejściowe '!L77</f>
        <v>514300</v>
      </c>
      <c r="K199" s="56">
        <f>'Założenia-dane wejściowe '!M77</f>
        <v>514300</v>
      </c>
      <c r="L199" s="56">
        <f>'Założenia-dane wejściowe '!N77</f>
        <v>514300</v>
      </c>
      <c r="M199" s="56">
        <f>'Założenia-dane wejściowe '!O77</f>
        <v>514300</v>
      </c>
      <c r="N199" s="56">
        <f>'Założenia-dane wejściowe '!P77</f>
        <v>514300</v>
      </c>
      <c r="O199" s="56">
        <f>'Założenia-dane wejściowe '!Q77</f>
        <v>514300</v>
      </c>
      <c r="P199" s="56">
        <f>'Założenia-dane wejściowe '!R77</f>
        <v>514300</v>
      </c>
      <c r="Q199" s="56">
        <f>'Założenia-dane wejściowe '!S77</f>
        <v>514300</v>
      </c>
      <c r="R199" s="56">
        <f>'Założenia-dane wejściowe '!T77</f>
        <v>514300</v>
      </c>
      <c r="S199" s="56">
        <f>'Założenia-dane wejściowe '!U77</f>
        <v>514300</v>
      </c>
      <c r="T199" s="56">
        <f>'Założenia-dane wejściowe '!V77</f>
        <v>514300</v>
      </c>
      <c r="U199" s="56">
        <f>'Założenia-dane wejściowe '!W77</f>
        <v>514300</v>
      </c>
      <c r="V199" s="56">
        <f>'Założenia-dane wejściowe '!X77</f>
        <v>514300</v>
      </c>
      <c r="W199" s="56">
        <f>'Założenia-dane wejściowe '!Y77</f>
        <v>514300</v>
      </c>
      <c r="X199" s="56">
        <f>'Założenia-dane wejściowe '!Z77</f>
        <v>514300</v>
      </c>
      <c r="Y199" s="56">
        <f>'Założenia-dane wejściowe '!AA77</f>
        <v>514300</v>
      </c>
      <c r="Z199" s="56">
        <f>'Założenia-dane wejściowe '!AB77</f>
        <v>514300</v>
      </c>
      <c r="AA199" s="56">
        <f>'Założenia-dane wejściowe '!AC77</f>
        <v>514300</v>
      </c>
      <c r="AB199" s="56">
        <f>'Założenia-dane wejściowe '!AD77</f>
        <v>514300</v>
      </c>
      <c r="AC199" s="56">
        <f>'Założenia-dane wejściowe '!AE77</f>
        <v>514300</v>
      </c>
      <c r="AD199" s="56">
        <f>'Założenia-dane wejściowe '!AF77</f>
        <v>514300</v>
      </c>
      <c r="AE199" s="56">
        <f>'Założenia-dane wejściowe '!AG77</f>
        <v>514300</v>
      </c>
      <c r="AF199" s="56">
        <f>'Założenia-dane wejściowe '!AH77</f>
        <v>514300</v>
      </c>
      <c r="AG199" s="56">
        <f>'Założenia-dane wejściowe '!AI77</f>
        <v>514300</v>
      </c>
    </row>
    <row r="200" spans="1:33" s="140" customFormat="1" ht="13.5" x14ac:dyDescent="0.25">
      <c r="A200" s="189" t="s">
        <v>339</v>
      </c>
      <c r="B200" s="56">
        <f>'Założenia-dane wejściowe '!D78</f>
        <v>10174388</v>
      </c>
      <c r="C200" s="56">
        <f>'Założenia-dane wejściowe '!E78</f>
        <v>10174388</v>
      </c>
      <c r="D200" s="56">
        <f>'Założenia-dane wejściowe '!F78</f>
        <v>10296481</v>
      </c>
      <c r="E200" s="56">
        <f>'Założenia-dane wejściowe '!G78</f>
        <v>10296481</v>
      </c>
      <c r="F200" s="56">
        <f>'Założenia-dane wejściowe '!H78</f>
        <v>10296481</v>
      </c>
      <c r="G200" s="56">
        <f>'Założenia-dane wejściowe '!I78</f>
        <v>10296481</v>
      </c>
      <c r="H200" s="56">
        <f>'Założenia-dane wejściowe '!J78</f>
        <v>10296481</v>
      </c>
      <c r="I200" s="56">
        <f>'Założenia-dane wejściowe '!K78</f>
        <v>10296481</v>
      </c>
      <c r="J200" s="56">
        <f>'Założenia-dane wejściowe '!L78</f>
        <v>11207406</v>
      </c>
      <c r="K200" s="56">
        <f>'Założenia-dane wejściowe '!M78</f>
        <v>11207406</v>
      </c>
      <c r="L200" s="56">
        <f>'Założenia-dane wejściowe '!N78</f>
        <v>11207406</v>
      </c>
      <c r="M200" s="56">
        <f>'Założenia-dane wejściowe '!O78</f>
        <v>11207406</v>
      </c>
      <c r="N200" s="56">
        <f>'Założenia-dane wejściowe '!P78</f>
        <v>11207406</v>
      </c>
      <c r="O200" s="56">
        <f>'Założenia-dane wejściowe '!Q78</f>
        <v>11207406</v>
      </c>
      <c r="P200" s="56">
        <f>'Założenia-dane wejściowe '!R78</f>
        <v>11207406</v>
      </c>
      <c r="Q200" s="56">
        <f>'Założenia-dane wejściowe '!S78</f>
        <v>11207406</v>
      </c>
      <c r="R200" s="56">
        <f>'Założenia-dane wejściowe '!T78</f>
        <v>11207406</v>
      </c>
      <c r="S200" s="56">
        <f>'Założenia-dane wejściowe '!U78</f>
        <v>11207406</v>
      </c>
      <c r="T200" s="56">
        <f>'Założenia-dane wejściowe '!V78</f>
        <v>11207406</v>
      </c>
      <c r="U200" s="56">
        <f>'Założenia-dane wejściowe '!W78</f>
        <v>11207406</v>
      </c>
      <c r="V200" s="56">
        <f>'Założenia-dane wejściowe '!X78</f>
        <v>11207406</v>
      </c>
      <c r="W200" s="56">
        <f>'Założenia-dane wejściowe '!Y78</f>
        <v>11207406</v>
      </c>
      <c r="X200" s="56">
        <f>'Założenia-dane wejściowe '!Z78</f>
        <v>11207406</v>
      </c>
      <c r="Y200" s="56">
        <f>'Założenia-dane wejściowe '!AA78</f>
        <v>11207406</v>
      </c>
      <c r="Z200" s="56">
        <f>'Założenia-dane wejściowe '!AB78</f>
        <v>11207406</v>
      </c>
      <c r="AA200" s="56">
        <f>'Założenia-dane wejściowe '!AC78</f>
        <v>11207406</v>
      </c>
      <c r="AB200" s="56">
        <f>'Założenia-dane wejściowe '!AD78</f>
        <v>11207406</v>
      </c>
      <c r="AC200" s="56">
        <f>'Założenia-dane wejściowe '!AE78</f>
        <v>11207406</v>
      </c>
      <c r="AD200" s="56">
        <f>'Założenia-dane wejściowe '!AF78</f>
        <v>11207406</v>
      </c>
      <c r="AE200" s="56">
        <f>'Założenia-dane wejściowe '!AG78</f>
        <v>11207406</v>
      </c>
      <c r="AF200" s="56">
        <f>'Założenia-dane wejściowe '!AH78</f>
        <v>11207406</v>
      </c>
      <c r="AG200" s="56">
        <f>'Założenia-dane wejściowe '!AI78</f>
        <v>11207406</v>
      </c>
    </row>
    <row r="201" spans="1:33" s="199" customFormat="1" ht="13.5" x14ac:dyDescent="0.25">
      <c r="A201" s="176" t="s">
        <v>83</v>
      </c>
      <c r="B201" s="192">
        <f>SUM(B193:B200)</f>
        <v>69259999</v>
      </c>
      <c r="C201" s="192">
        <f t="shared" ref="C201:AG201" si="98">SUM(C193:C200)</f>
        <v>69439789</v>
      </c>
      <c r="D201" s="192">
        <f t="shared" si="98"/>
        <v>70183677</v>
      </c>
      <c r="E201" s="192">
        <f t="shared" si="98"/>
        <v>70477677</v>
      </c>
      <c r="F201" s="192">
        <f t="shared" si="98"/>
        <v>70477677</v>
      </c>
      <c r="G201" s="192">
        <f t="shared" si="98"/>
        <v>70477677</v>
      </c>
      <c r="H201" s="192">
        <f t="shared" si="98"/>
        <v>70477677</v>
      </c>
      <c r="I201" s="192">
        <f t="shared" si="98"/>
        <v>70477677</v>
      </c>
      <c r="J201" s="192">
        <f t="shared" si="98"/>
        <v>81855722.174999997</v>
      </c>
      <c r="K201" s="192">
        <f t="shared" si="98"/>
        <v>81855722.174999997</v>
      </c>
      <c r="L201" s="192">
        <f t="shared" si="98"/>
        <v>81855722.174999997</v>
      </c>
      <c r="M201" s="192">
        <f t="shared" si="98"/>
        <v>81855722.174999997</v>
      </c>
      <c r="N201" s="192">
        <f t="shared" si="98"/>
        <v>81855722.174999997</v>
      </c>
      <c r="O201" s="192">
        <f t="shared" si="98"/>
        <v>81855722.174999997</v>
      </c>
      <c r="P201" s="192">
        <f t="shared" si="98"/>
        <v>81855722.174999997</v>
      </c>
      <c r="Q201" s="192">
        <f t="shared" si="98"/>
        <v>81855722.174999997</v>
      </c>
      <c r="R201" s="192">
        <f t="shared" si="98"/>
        <v>81855722.174999997</v>
      </c>
      <c r="S201" s="192">
        <f t="shared" si="98"/>
        <v>81855722.174999997</v>
      </c>
      <c r="T201" s="192">
        <f t="shared" si="98"/>
        <v>82102760.068749994</v>
      </c>
      <c r="U201" s="192">
        <f t="shared" si="98"/>
        <v>82102760.068749994</v>
      </c>
      <c r="V201" s="192">
        <f t="shared" si="98"/>
        <v>82102760.068749994</v>
      </c>
      <c r="W201" s="192">
        <f t="shared" si="98"/>
        <v>82102760.068749994</v>
      </c>
      <c r="X201" s="192">
        <f t="shared" si="98"/>
        <v>82102760.068749994</v>
      </c>
      <c r="Y201" s="192">
        <f t="shared" si="98"/>
        <v>82349797.962500006</v>
      </c>
      <c r="Z201" s="192">
        <f t="shared" si="98"/>
        <v>82349797.962500006</v>
      </c>
      <c r="AA201" s="192">
        <f t="shared" si="98"/>
        <v>82349797.962500006</v>
      </c>
      <c r="AB201" s="192">
        <f t="shared" si="98"/>
        <v>82349797.962500006</v>
      </c>
      <c r="AC201" s="192">
        <f t="shared" si="98"/>
        <v>82349797.962500006</v>
      </c>
      <c r="AD201" s="192">
        <f t="shared" si="98"/>
        <v>82596835.856250003</v>
      </c>
      <c r="AE201" s="192">
        <f t="shared" si="98"/>
        <v>82596835.856250003</v>
      </c>
      <c r="AF201" s="192">
        <f t="shared" si="98"/>
        <v>82596835.856250003</v>
      </c>
      <c r="AG201" s="192">
        <f t="shared" si="98"/>
        <v>82596835.856250003</v>
      </c>
    </row>
    <row r="202" spans="1:33" s="244" customFormat="1" hidden="1" x14ac:dyDescent="0.2">
      <c r="A202" s="241"/>
      <c r="B202" s="242"/>
      <c r="C202" s="242"/>
      <c r="D202" s="242"/>
      <c r="E202" s="242"/>
      <c r="F202" s="242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</row>
    <row r="203" spans="1:33" ht="15.75" x14ac:dyDescent="0.2">
      <c r="A203" s="233" t="s">
        <v>410</v>
      </c>
      <c r="B203" s="240"/>
    </row>
    <row r="204" spans="1:33" s="140" customFormat="1" ht="13.5" x14ac:dyDescent="0.25">
      <c r="A204" s="184" t="s">
        <v>81</v>
      </c>
      <c r="B204" s="187">
        <f>B180</f>
        <v>2013</v>
      </c>
      <c r="C204" s="187">
        <f t="shared" ref="C204:AG204" si="99">B204+1</f>
        <v>2014</v>
      </c>
      <c r="D204" s="187">
        <f t="shared" si="99"/>
        <v>2015</v>
      </c>
      <c r="E204" s="187">
        <f t="shared" si="99"/>
        <v>2016</v>
      </c>
      <c r="F204" s="187">
        <f t="shared" si="99"/>
        <v>2017</v>
      </c>
      <c r="G204" s="187">
        <f t="shared" si="99"/>
        <v>2018</v>
      </c>
      <c r="H204" s="187">
        <f t="shared" si="99"/>
        <v>2019</v>
      </c>
      <c r="I204" s="187">
        <f t="shared" si="99"/>
        <v>2020</v>
      </c>
      <c r="J204" s="187">
        <f t="shared" si="99"/>
        <v>2021</v>
      </c>
      <c r="K204" s="187">
        <f t="shared" si="99"/>
        <v>2022</v>
      </c>
      <c r="L204" s="187">
        <f t="shared" si="99"/>
        <v>2023</v>
      </c>
      <c r="M204" s="187">
        <f t="shared" si="99"/>
        <v>2024</v>
      </c>
      <c r="N204" s="187">
        <f t="shared" si="99"/>
        <v>2025</v>
      </c>
      <c r="O204" s="187">
        <f t="shared" si="99"/>
        <v>2026</v>
      </c>
      <c r="P204" s="187">
        <f t="shared" si="99"/>
        <v>2027</v>
      </c>
      <c r="Q204" s="187">
        <f t="shared" si="99"/>
        <v>2028</v>
      </c>
      <c r="R204" s="187">
        <f t="shared" si="99"/>
        <v>2029</v>
      </c>
      <c r="S204" s="187">
        <f t="shared" si="99"/>
        <v>2030</v>
      </c>
      <c r="T204" s="187">
        <f t="shared" si="99"/>
        <v>2031</v>
      </c>
      <c r="U204" s="187">
        <f t="shared" si="99"/>
        <v>2032</v>
      </c>
      <c r="V204" s="187">
        <f t="shared" si="99"/>
        <v>2033</v>
      </c>
      <c r="W204" s="187">
        <f t="shared" si="99"/>
        <v>2034</v>
      </c>
      <c r="X204" s="187">
        <f t="shared" si="99"/>
        <v>2035</v>
      </c>
      <c r="Y204" s="187">
        <f t="shared" si="99"/>
        <v>2036</v>
      </c>
      <c r="Z204" s="187">
        <f t="shared" si="99"/>
        <v>2037</v>
      </c>
      <c r="AA204" s="187">
        <f t="shared" si="99"/>
        <v>2038</v>
      </c>
      <c r="AB204" s="187">
        <f t="shared" si="99"/>
        <v>2039</v>
      </c>
      <c r="AC204" s="187">
        <f t="shared" si="99"/>
        <v>2040</v>
      </c>
      <c r="AD204" s="187">
        <f t="shared" si="99"/>
        <v>2041</v>
      </c>
      <c r="AE204" s="187">
        <f t="shared" si="99"/>
        <v>2042</v>
      </c>
      <c r="AF204" s="187">
        <f t="shared" si="99"/>
        <v>2043</v>
      </c>
      <c r="AG204" s="187">
        <f t="shared" si="99"/>
        <v>2044</v>
      </c>
    </row>
    <row r="205" spans="1:33" s="140" customFormat="1" ht="13.5" x14ac:dyDescent="0.25">
      <c r="A205" s="189" t="s">
        <v>82</v>
      </c>
      <c r="B205" s="56">
        <f>'Założenia-dane wejściowe '!D100</f>
        <v>16347977</v>
      </c>
      <c r="C205" s="56">
        <f>'Założenia-dane wejściowe '!E100</f>
        <v>16347977</v>
      </c>
      <c r="D205" s="56">
        <f>'Założenia-dane wejściowe '!F100</f>
        <v>16347977</v>
      </c>
      <c r="E205" s="56">
        <f>'Założenia-dane wejściowe '!G100</f>
        <v>16347977</v>
      </c>
      <c r="F205" s="56">
        <f>'Założenia-dane wejściowe '!H100</f>
        <v>16347977</v>
      </c>
      <c r="G205" s="56">
        <f>'Założenia-dane wejściowe '!I100</f>
        <v>16347977</v>
      </c>
      <c r="H205" s="56">
        <f>'Założenia-dane wejściowe '!J100</f>
        <v>19257977</v>
      </c>
      <c r="I205" s="56">
        <f>'Założenia-dane wejściowe '!K100</f>
        <v>19257977</v>
      </c>
      <c r="J205" s="56">
        <f>'Założenia-dane wejściowe '!L100</f>
        <v>23759029.449999999</v>
      </c>
      <c r="K205" s="56">
        <f>'Założenia-dane wejściowe '!M100</f>
        <v>23759029.449999999</v>
      </c>
      <c r="L205" s="56">
        <f>'Założenia-dane wejściowe '!N100</f>
        <v>23759029.449999999</v>
      </c>
      <c r="M205" s="56">
        <f>'Założenia-dane wejściowe '!O100</f>
        <v>23759029.449999999</v>
      </c>
      <c r="N205" s="56">
        <f>'Założenia-dane wejściowe '!P100</f>
        <v>23759029.449999999</v>
      </c>
      <c r="O205" s="56">
        <f>'Założenia-dane wejściowe '!Q100</f>
        <v>23759029.449999999</v>
      </c>
      <c r="P205" s="56">
        <f>'Założenia-dane wejściowe '!R100</f>
        <v>23759029.449999999</v>
      </c>
      <c r="Q205" s="56">
        <f>'Założenia-dane wejściowe '!S100</f>
        <v>23759029.449999999</v>
      </c>
      <c r="R205" s="56">
        <f>'Założenia-dane wejściowe '!T100</f>
        <v>23759029.449999999</v>
      </c>
      <c r="S205" s="56">
        <f>'Założenia-dane wejściowe '!U100</f>
        <v>23759029.449999999</v>
      </c>
      <c r="T205" s="56">
        <f>'Założenia-dane wejściowe '!V100</f>
        <v>24033353.322499998</v>
      </c>
      <c r="U205" s="56">
        <f>'Założenia-dane wejściowe '!W100</f>
        <v>24033353.322499998</v>
      </c>
      <c r="V205" s="56">
        <f>'Założenia-dane wejściowe '!X100</f>
        <v>24033353.322499998</v>
      </c>
      <c r="W205" s="56">
        <f>'Założenia-dane wejściowe '!Y100</f>
        <v>24033353.322499998</v>
      </c>
      <c r="X205" s="56">
        <f>'Założenia-dane wejściowe '!Z100</f>
        <v>23063353.322499998</v>
      </c>
      <c r="Y205" s="56">
        <f>'Założenia-dane wejściowe '!AA100</f>
        <v>21397677.195</v>
      </c>
      <c r="Z205" s="56">
        <f>'Założenia-dane wejściowe '!AB100</f>
        <v>23917677.195</v>
      </c>
      <c r="AA205" s="56">
        <f>'Założenia-dane wejściowe '!AC100</f>
        <v>23917677.195</v>
      </c>
      <c r="AB205" s="56">
        <f>'Założenia-dane wejściowe '!AD100</f>
        <v>23917677.195</v>
      </c>
      <c r="AC205" s="56">
        <f>'Założenia-dane wejściowe '!AE100</f>
        <v>23917677.195</v>
      </c>
      <c r="AD205" s="56">
        <f>'Założenia-dane wejściowe '!AF100</f>
        <v>24192001.067499999</v>
      </c>
      <c r="AE205" s="56">
        <f>'Założenia-dane wejściowe '!AG100</f>
        <v>24192001.067499999</v>
      </c>
      <c r="AF205" s="56">
        <f>'Założenia-dane wejściowe '!AH100</f>
        <v>24192001.067499999</v>
      </c>
      <c r="AG205" s="56">
        <f>'Założenia-dane wejściowe '!AI100</f>
        <v>24192001.067499999</v>
      </c>
    </row>
    <row r="206" spans="1:33" s="140" customFormat="1" ht="13.5" x14ac:dyDescent="0.25">
      <c r="A206" s="190" t="s">
        <v>340</v>
      </c>
      <c r="B206" s="56">
        <f>'Założenia-dane wejściowe '!D101</f>
        <v>12314195</v>
      </c>
      <c r="C206" s="56">
        <f>'Założenia-dane wejściowe '!E101</f>
        <v>12449651</v>
      </c>
      <c r="D206" s="56">
        <f>'Założenia-dane wejściowe '!F101</f>
        <v>12723543</v>
      </c>
      <c r="E206" s="56">
        <f>'Założenia-dane wejściowe '!G101</f>
        <v>14571543</v>
      </c>
      <c r="F206" s="56">
        <f>'Założenia-dane wejściowe '!H101</f>
        <v>14571543</v>
      </c>
      <c r="G206" s="56">
        <f>'Założenia-dane wejściowe '!I101</f>
        <v>14571543</v>
      </c>
      <c r="H206" s="56">
        <f>'Założenia-dane wejściowe '!J101</f>
        <v>14571543</v>
      </c>
      <c r="I206" s="56">
        <f>'Założenia-dane wejściowe '!K101</f>
        <v>14571543</v>
      </c>
      <c r="J206" s="56">
        <f>'Założenia-dane wejściowe '!L101</f>
        <v>14571543</v>
      </c>
      <c r="K206" s="56">
        <f>'Założenia-dane wejściowe '!M101</f>
        <v>14571543</v>
      </c>
      <c r="L206" s="56">
        <f>'Założenia-dane wejściowe '!N101</f>
        <v>14571543</v>
      </c>
      <c r="M206" s="56">
        <f>'Założenia-dane wejściowe '!O101</f>
        <v>14571543</v>
      </c>
      <c r="N206" s="56">
        <f>'Założenia-dane wejściowe '!P101</f>
        <v>14571543</v>
      </c>
      <c r="O206" s="56">
        <f>'Założenia-dane wejściowe '!Q101</f>
        <v>14571543</v>
      </c>
      <c r="P206" s="56">
        <f>'Założenia-dane wejściowe '!R101</f>
        <v>14571543</v>
      </c>
      <c r="Q206" s="56">
        <f>'Założenia-dane wejściowe '!S101</f>
        <v>14571543</v>
      </c>
      <c r="R206" s="56">
        <f>'Założenia-dane wejściowe '!T101</f>
        <v>14571543</v>
      </c>
      <c r="S206" s="56">
        <f>'Założenia-dane wejściowe '!U101</f>
        <v>14571543</v>
      </c>
      <c r="T206" s="56">
        <f>'Założenia-dane wejściowe '!V101</f>
        <v>14571543</v>
      </c>
      <c r="U206" s="56">
        <f>'Założenia-dane wejściowe '!W101</f>
        <v>14571543</v>
      </c>
      <c r="V206" s="56">
        <f>'Założenia-dane wejściowe '!X101</f>
        <v>14571543</v>
      </c>
      <c r="W206" s="56">
        <f>'Założenia-dane wejściowe '!Y101</f>
        <v>14571543</v>
      </c>
      <c r="X206" s="56">
        <f>'Założenia-dane wejściowe '!Z101</f>
        <v>14571543</v>
      </c>
      <c r="Y206" s="56">
        <f>'Założenia-dane wejściowe '!AA101</f>
        <v>14571543</v>
      </c>
      <c r="Z206" s="56">
        <f>'Założenia-dane wejściowe '!AB101</f>
        <v>14571543</v>
      </c>
      <c r="AA206" s="56">
        <f>'Założenia-dane wejściowe '!AC101</f>
        <v>14571543</v>
      </c>
      <c r="AB206" s="56">
        <f>'Założenia-dane wejściowe '!AD101</f>
        <v>14571543</v>
      </c>
      <c r="AC206" s="56">
        <f>'Założenia-dane wejściowe '!AE101</f>
        <v>14571543</v>
      </c>
      <c r="AD206" s="56">
        <f>'Założenia-dane wejściowe '!AF101</f>
        <v>14571543</v>
      </c>
      <c r="AE206" s="56">
        <f>'Założenia-dane wejściowe '!AG101</f>
        <v>14571543</v>
      </c>
      <c r="AF206" s="56">
        <f>'Założenia-dane wejściowe '!AH101</f>
        <v>14571543</v>
      </c>
      <c r="AG206" s="56">
        <f>'Założenia-dane wejściowe '!AI101</f>
        <v>14571543</v>
      </c>
    </row>
    <row r="207" spans="1:33" s="140" customFormat="1" ht="13.5" x14ac:dyDescent="0.25">
      <c r="A207" s="189" t="s">
        <v>341</v>
      </c>
      <c r="B207" s="56">
        <f>'Założenia-dane wejściowe '!D102</f>
        <v>2468976</v>
      </c>
      <c r="C207" s="56">
        <f>'Założenia-dane wejściowe '!E102</f>
        <v>2468976</v>
      </c>
      <c r="D207" s="56">
        <f>'Założenia-dane wejściowe '!F102</f>
        <v>2498604</v>
      </c>
      <c r="E207" s="56">
        <f>'Założenia-dane wejściowe '!G102</f>
        <v>2498604</v>
      </c>
      <c r="F207" s="56">
        <f>'Założenia-dane wejściowe '!H102</f>
        <v>2498604</v>
      </c>
      <c r="G207" s="56">
        <f>'Założenia-dane wejściowe '!I102</f>
        <v>2498604</v>
      </c>
      <c r="H207" s="56">
        <f>'Założenia-dane wejściowe '!J102</f>
        <v>2498604</v>
      </c>
      <c r="I207" s="56">
        <f>'Założenia-dane wejściowe '!K102</f>
        <v>2498604</v>
      </c>
      <c r="J207" s="56">
        <f>'Założenia-dane wejściowe '!L102</f>
        <v>2895643</v>
      </c>
      <c r="K207" s="56">
        <f>'Założenia-dane wejściowe '!M102</f>
        <v>2895643</v>
      </c>
      <c r="L207" s="56">
        <f>'Założenia-dane wejściowe '!N102</f>
        <v>2895643</v>
      </c>
      <c r="M207" s="56">
        <f>'Założenia-dane wejściowe '!O102</f>
        <v>2895643</v>
      </c>
      <c r="N207" s="56">
        <f>'Założenia-dane wejściowe '!P102</f>
        <v>2895643</v>
      </c>
      <c r="O207" s="56">
        <f>'Założenia-dane wejściowe '!Q102</f>
        <v>2895643</v>
      </c>
      <c r="P207" s="56">
        <f>'Założenia-dane wejściowe '!R102</f>
        <v>2895643</v>
      </c>
      <c r="Q207" s="56">
        <f>'Założenia-dane wejściowe '!S102</f>
        <v>2895643</v>
      </c>
      <c r="R207" s="56">
        <f>'Założenia-dane wejściowe '!T102</f>
        <v>2895643</v>
      </c>
      <c r="S207" s="56">
        <f>'Założenia-dane wejściowe '!U102</f>
        <v>2895643</v>
      </c>
      <c r="T207" s="56">
        <f>'Założenia-dane wejściowe '!V102</f>
        <v>2895643</v>
      </c>
      <c r="U207" s="56">
        <f>'Założenia-dane wejściowe '!W102</f>
        <v>2895643</v>
      </c>
      <c r="V207" s="56">
        <f>'Założenia-dane wejściowe '!X102</f>
        <v>2895643</v>
      </c>
      <c r="W207" s="56">
        <f>'Założenia-dane wejściowe '!Y102</f>
        <v>2895643</v>
      </c>
      <c r="X207" s="56">
        <f>'Założenia-dane wejściowe '!Z102</f>
        <v>2895643</v>
      </c>
      <c r="Y207" s="56">
        <f>'Założenia-dane wejściowe '!AA102</f>
        <v>2895643</v>
      </c>
      <c r="Z207" s="56">
        <f>'Założenia-dane wejściowe '!AB102</f>
        <v>2895643</v>
      </c>
      <c r="AA207" s="56">
        <f>'Założenia-dane wejściowe '!AC102</f>
        <v>2895643</v>
      </c>
      <c r="AB207" s="56">
        <f>'Założenia-dane wejściowe '!AD102</f>
        <v>2895643</v>
      </c>
      <c r="AC207" s="56">
        <f>'Założenia-dane wejściowe '!AE102</f>
        <v>2895643</v>
      </c>
      <c r="AD207" s="56">
        <f>'Założenia-dane wejściowe '!AF102</f>
        <v>2895643</v>
      </c>
      <c r="AE207" s="56">
        <f>'Założenia-dane wejściowe '!AG102</f>
        <v>2895643</v>
      </c>
      <c r="AF207" s="56">
        <f>'Założenia-dane wejściowe '!AH102</f>
        <v>2895643</v>
      </c>
      <c r="AG207" s="56">
        <f>'Założenia-dane wejściowe '!AI102</f>
        <v>2895643</v>
      </c>
    </row>
    <row r="208" spans="1:33" s="140" customFormat="1" ht="13.5" x14ac:dyDescent="0.25">
      <c r="A208" s="189" t="s">
        <v>342</v>
      </c>
      <c r="B208" s="56">
        <f>'Założenia-dane wejściowe '!D103</f>
        <v>5052712</v>
      </c>
      <c r="C208" s="56">
        <f>'Założenia-dane wejściowe '!E103</f>
        <v>5052712</v>
      </c>
      <c r="D208" s="56">
        <f>'Założenia-dane wejściowe '!F103</f>
        <v>5113345</v>
      </c>
      <c r="E208" s="56">
        <f>'Założenia-dane wejściowe '!G103</f>
        <v>5113345</v>
      </c>
      <c r="F208" s="56">
        <f>'Założenia-dane wejściowe '!H103</f>
        <v>5119901</v>
      </c>
      <c r="G208" s="56">
        <f>'Założenia-dane wejściowe '!I103</f>
        <v>5131661</v>
      </c>
      <c r="H208" s="56">
        <f>'Założenia-dane wejściowe '!J103</f>
        <v>5131661</v>
      </c>
      <c r="I208" s="56">
        <f>'Założenia-dane wejściowe '!K103</f>
        <v>5131661</v>
      </c>
      <c r="J208" s="56">
        <f>'Założenia-dane wejściowe '!L103</f>
        <v>5925739</v>
      </c>
      <c r="K208" s="56">
        <f>'Założenia-dane wejściowe '!M103</f>
        <v>5925739</v>
      </c>
      <c r="L208" s="56">
        <f>'Założenia-dane wejściowe '!N103</f>
        <v>5925739</v>
      </c>
      <c r="M208" s="56">
        <f>'Założenia-dane wejściowe '!O103</f>
        <v>5925739</v>
      </c>
      <c r="N208" s="56">
        <f>'Założenia-dane wejściowe '!P103</f>
        <v>5925739</v>
      </c>
      <c r="O208" s="56">
        <f>'Założenia-dane wejściowe '!Q103</f>
        <v>5925739</v>
      </c>
      <c r="P208" s="56">
        <f>'Założenia-dane wejściowe '!R103</f>
        <v>5925739</v>
      </c>
      <c r="Q208" s="56">
        <f>'Założenia-dane wejściowe '!S103</f>
        <v>5925739</v>
      </c>
      <c r="R208" s="56">
        <f>'Założenia-dane wejściowe '!T103</f>
        <v>5925739</v>
      </c>
      <c r="S208" s="56">
        <f>'Założenia-dane wejściowe '!U103</f>
        <v>5925739</v>
      </c>
      <c r="T208" s="56">
        <f>'Założenia-dane wejściowe '!V103</f>
        <v>5925739</v>
      </c>
      <c r="U208" s="56">
        <f>'Założenia-dane wejściowe '!W103</f>
        <v>5925739</v>
      </c>
      <c r="V208" s="56">
        <f>'Założenia-dane wejściowe '!X103</f>
        <v>5925739</v>
      </c>
      <c r="W208" s="56">
        <f>'Założenia-dane wejściowe '!Y103</f>
        <v>5925739</v>
      </c>
      <c r="X208" s="56">
        <f>'Założenia-dane wejściowe '!Z103</f>
        <v>5925739</v>
      </c>
      <c r="Y208" s="56">
        <f>'Założenia-dane wejściowe '!AA103</f>
        <v>5925739</v>
      </c>
      <c r="Z208" s="56">
        <f>'Założenia-dane wejściowe '!AB103</f>
        <v>5925739</v>
      </c>
      <c r="AA208" s="56">
        <f>'Założenia-dane wejściowe '!AC103</f>
        <v>5925739</v>
      </c>
      <c r="AB208" s="56">
        <f>'Założenia-dane wejściowe '!AD103</f>
        <v>5925739</v>
      </c>
      <c r="AC208" s="56">
        <f>'Założenia-dane wejściowe '!AE103</f>
        <v>5925739</v>
      </c>
      <c r="AD208" s="56">
        <f>'Założenia-dane wejściowe '!AF103</f>
        <v>5925739</v>
      </c>
      <c r="AE208" s="56">
        <f>'Założenia-dane wejściowe '!AG103</f>
        <v>5925739</v>
      </c>
      <c r="AF208" s="56">
        <f>'Założenia-dane wejściowe '!AH103</f>
        <v>5925739</v>
      </c>
      <c r="AG208" s="56">
        <f>'Założenia-dane wejściowe '!AI103</f>
        <v>5925739</v>
      </c>
    </row>
    <row r="209" spans="1:33" s="140" customFormat="1" ht="13.5" x14ac:dyDescent="0.25">
      <c r="A209" s="189" t="s">
        <v>343</v>
      </c>
      <c r="B209" s="56">
        <f>'Założenia-dane wejściowe '!D104</f>
        <v>10352363</v>
      </c>
      <c r="C209" s="56">
        <f>'Założenia-dane wejściowe '!E104</f>
        <v>10352363</v>
      </c>
      <c r="D209" s="56">
        <f>'Założenia-dane wejściowe '!F104</f>
        <v>10476591</v>
      </c>
      <c r="E209" s="56">
        <f>'Założenia-dane wejściowe '!G104</f>
        <v>10476591</v>
      </c>
      <c r="F209" s="56">
        <f>'Założenia-dane wejściowe '!H104</f>
        <v>10476591</v>
      </c>
      <c r="G209" s="56">
        <f>'Założenia-dane wejściowe '!I104</f>
        <v>10476591</v>
      </c>
      <c r="H209" s="56">
        <f>'Założenia-dane wejściowe '!J104</f>
        <v>10476591</v>
      </c>
      <c r="I209" s="56">
        <f>'Założenia-dane wejściowe '!K104</f>
        <v>14077433</v>
      </c>
      <c r="J209" s="56">
        <f>'Założenia-dane wejściowe '!L104</f>
        <v>14077433</v>
      </c>
      <c r="K209" s="56">
        <f>'Założenia-dane wejściowe '!M104</f>
        <v>14077433</v>
      </c>
      <c r="L209" s="56">
        <f>'Założenia-dane wejściowe '!N104</f>
        <v>14077433</v>
      </c>
      <c r="M209" s="56">
        <f>'Założenia-dane wejściowe '!O104</f>
        <v>14077433</v>
      </c>
      <c r="N209" s="56">
        <f>'Założenia-dane wejściowe '!P104</f>
        <v>14077433</v>
      </c>
      <c r="O209" s="56">
        <f>'Założenia-dane wejściowe '!Q104</f>
        <v>14077433</v>
      </c>
      <c r="P209" s="56">
        <f>'Założenia-dane wejściowe '!R104</f>
        <v>14077433</v>
      </c>
      <c r="Q209" s="56">
        <f>'Założenia-dane wejściowe '!S104</f>
        <v>14077433</v>
      </c>
      <c r="R209" s="56">
        <f>'Założenia-dane wejściowe '!T104</f>
        <v>14077433</v>
      </c>
      <c r="S209" s="56">
        <f>'Założenia-dane wejściowe '!U104</f>
        <v>14077433</v>
      </c>
      <c r="T209" s="56">
        <f>'Założenia-dane wejściowe '!V104</f>
        <v>14077433</v>
      </c>
      <c r="U209" s="56">
        <f>'Założenia-dane wejściowe '!W104</f>
        <v>14077433</v>
      </c>
      <c r="V209" s="56">
        <f>'Założenia-dane wejściowe '!X104</f>
        <v>14077433</v>
      </c>
      <c r="W209" s="56">
        <f>'Założenia-dane wejściowe '!Y104</f>
        <v>14077433</v>
      </c>
      <c r="X209" s="56">
        <f>'Założenia-dane wejściowe '!Z104</f>
        <v>14077433</v>
      </c>
      <c r="Y209" s="56">
        <f>'Założenia-dane wejściowe '!AA104</f>
        <v>14077433</v>
      </c>
      <c r="Z209" s="56">
        <f>'Założenia-dane wejściowe '!AB104</f>
        <v>14077433</v>
      </c>
      <c r="AA209" s="56">
        <f>'Założenia-dane wejściowe '!AC104</f>
        <v>14077433</v>
      </c>
      <c r="AB209" s="56">
        <f>'Założenia-dane wejściowe '!AD104</f>
        <v>14077433</v>
      </c>
      <c r="AC209" s="56">
        <f>'Założenia-dane wejściowe '!AE104</f>
        <v>14077433</v>
      </c>
      <c r="AD209" s="56">
        <f>'Założenia-dane wejściowe '!AF104</f>
        <v>14077433</v>
      </c>
      <c r="AE209" s="56">
        <f>'Założenia-dane wejściowe '!AG104</f>
        <v>14077433</v>
      </c>
      <c r="AF209" s="56">
        <f>'Założenia-dane wejściowe '!AH104</f>
        <v>14077433</v>
      </c>
      <c r="AG209" s="56">
        <f>'Założenia-dane wejściowe '!AI104</f>
        <v>14077433</v>
      </c>
    </row>
    <row r="210" spans="1:33" s="140" customFormat="1" ht="13.5" x14ac:dyDescent="0.25">
      <c r="A210" s="189" t="s">
        <v>344</v>
      </c>
      <c r="B210" s="56">
        <f>'Założenia-dane wejściowe '!D105</f>
        <v>9986346</v>
      </c>
      <c r="C210" s="56">
        <f>'Założenia-dane wejściowe '!E105</f>
        <v>9986346</v>
      </c>
      <c r="D210" s="56">
        <f>'Założenia-dane wejściowe '!F105</f>
        <v>10106182</v>
      </c>
      <c r="E210" s="56">
        <f>'Założenia-dane wejściowe '!G105</f>
        <v>10106182</v>
      </c>
      <c r="F210" s="56">
        <f>'Założenia-dane wejściowe '!H105</f>
        <v>10106182</v>
      </c>
      <c r="G210" s="56">
        <f>'Założenia-dane wejściowe '!I105</f>
        <v>10208942</v>
      </c>
      <c r="H210" s="56">
        <f>'Założenia-dane wejściowe '!J105</f>
        <v>10208942</v>
      </c>
      <c r="I210" s="56">
        <f>'Założenia-dane wejściowe '!K105</f>
        <v>10208942</v>
      </c>
      <c r="J210" s="56">
        <f>'Założenia-dane wejściowe '!L105</f>
        <v>11797097</v>
      </c>
      <c r="K210" s="56">
        <f>'Założenia-dane wejściowe '!M105</f>
        <v>11797097</v>
      </c>
      <c r="L210" s="56">
        <f>'Założenia-dane wejściowe '!N105</f>
        <v>11797097</v>
      </c>
      <c r="M210" s="56">
        <f>'Założenia-dane wejściowe '!O105</f>
        <v>11797097</v>
      </c>
      <c r="N210" s="56">
        <f>'Założenia-dane wejściowe '!P105</f>
        <v>11797097</v>
      </c>
      <c r="O210" s="56">
        <f>'Założenia-dane wejściowe '!Q105</f>
        <v>11797097</v>
      </c>
      <c r="P210" s="56">
        <f>'Założenia-dane wejściowe '!R105</f>
        <v>11797097</v>
      </c>
      <c r="Q210" s="56">
        <f>'Założenia-dane wejściowe '!S105</f>
        <v>11797097</v>
      </c>
      <c r="R210" s="56">
        <f>'Założenia-dane wejściowe '!T105</f>
        <v>11797097</v>
      </c>
      <c r="S210" s="56">
        <f>'Założenia-dane wejściowe '!U105</f>
        <v>11797097</v>
      </c>
      <c r="T210" s="56">
        <f>'Założenia-dane wejściowe '!V105</f>
        <v>11797097</v>
      </c>
      <c r="U210" s="56">
        <f>'Założenia-dane wejściowe '!W105</f>
        <v>11797097</v>
      </c>
      <c r="V210" s="56">
        <f>'Założenia-dane wejściowe '!X105</f>
        <v>11797097</v>
      </c>
      <c r="W210" s="56">
        <f>'Założenia-dane wejściowe '!Y105</f>
        <v>11797097</v>
      </c>
      <c r="X210" s="56">
        <f>'Założenia-dane wejściowe '!Z105</f>
        <v>11797097</v>
      </c>
      <c r="Y210" s="56">
        <f>'Założenia-dane wejściowe '!AA105</f>
        <v>11797097</v>
      </c>
      <c r="Z210" s="56">
        <f>'Założenia-dane wejściowe '!AB105</f>
        <v>11797097</v>
      </c>
      <c r="AA210" s="56">
        <f>'Założenia-dane wejściowe '!AC105</f>
        <v>11797097</v>
      </c>
      <c r="AB210" s="56">
        <f>'Założenia-dane wejściowe '!AD105</f>
        <v>11797097</v>
      </c>
      <c r="AC210" s="56">
        <f>'Założenia-dane wejściowe '!AE105</f>
        <v>11797097</v>
      </c>
      <c r="AD210" s="56">
        <f>'Założenia-dane wejściowe '!AF105</f>
        <v>11797097</v>
      </c>
      <c r="AE210" s="56">
        <f>'Założenia-dane wejściowe '!AG105</f>
        <v>11797097</v>
      </c>
      <c r="AF210" s="56">
        <f>'Założenia-dane wejściowe '!AH105</f>
        <v>11797097</v>
      </c>
      <c r="AG210" s="56">
        <f>'Założenia-dane wejściowe '!AI105</f>
        <v>11797097</v>
      </c>
    </row>
    <row r="211" spans="1:33" s="140" customFormat="1" ht="13.5" x14ac:dyDescent="0.25">
      <c r="A211" s="189" t="s">
        <v>345</v>
      </c>
      <c r="B211" s="56">
        <f>'Założenia-dane wejściowe '!D106</f>
        <v>554457</v>
      </c>
      <c r="C211" s="56">
        <f>'Założenia-dane wejściowe '!E106</f>
        <v>554457</v>
      </c>
      <c r="D211" s="56">
        <f>'Założenia-dane wejściowe '!F106</f>
        <v>561110</v>
      </c>
      <c r="E211" s="56">
        <f>'Założenia-dane wejściowe '!G106</f>
        <v>561110</v>
      </c>
      <c r="F211" s="56">
        <f>'Założenia-dane wejściowe '!H106</f>
        <v>561110</v>
      </c>
      <c r="G211" s="56">
        <f>'Założenia-dane wejściowe '!I106</f>
        <v>561110</v>
      </c>
      <c r="H211" s="56">
        <f>'Założenia-dane wejściowe '!J106</f>
        <v>561110</v>
      </c>
      <c r="I211" s="56">
        <f>'Założenia-dane wejściowe '!K106</f>
        <v>561110</v>
      </c>
      <c r="J211" s="56">
        <f>'Założenia-dane wejściowe '!L106</f>
        <v>655643</v>
      </c>
      <c r="K211" s="56">
        <f>'Założenia-dane wejściowe '!M106</f>
        <v>655643</v>
      </c>
      <c r="L211" s="56">
        <f>'Założenia-dane wejściowe '!N106</f>
        <v>655643</v>
      </c>
      <c r="M211" s="56">
        <f>'Założenia-dane wejściowe '!O106</f>
        <v>655643</v>
      </c>
      <c r="N211" s="56">
        <f>'Założenia-dane wejściowe '!P106</f>
        <v>655643</v>
      </c>
      <c r="O211" s="56">
        <f>'Założenia-dane wejściowe '!Q106</f>
        <v>655643</v>
      </c>
      <c r="P211" s="56">
        <f>'Założenia-dane wejściowe '!R106</f>
        <v>655643</v>
      </c>
      <c r="Q211" s="56">
        <f>'Założenia-dane wejściowe '!S106</f>
        <v>655643</v>
      </c>
      <c r="R211" s="56">
        <f>'Założenia-dane wejściowe '!T106</f>
        <v>655643</v>
      </c>
      <c r="S211" s="56">
        <f>'Założenia-dane wejściowe '!U106</f>
        <v>655643</v>
      </c>
      <c r="T211" s="56">
        <f>'Założenia-dane wejściowe '!V106</f>
        <v>655643</v>
      </c>
      <c r="U211" s="56">
        <f>'Założenia-dane wejściowe '!W106</f>
        <v>655643</v>
      </c>
      <c r="V211" s="56">
        <f>'Założenia-dane wejściowe '!X106</f>
        <v>655643</v>
      </c>
      <c r="W211" s="56">
        <f>'Założenia-dane wejściowe '!Y106</f>
        <v>655643</v>
      </c>
      <c r="X211" s="56">
        <f>'Założenia-dane wejściowe '!Z106</f>
        <v>655643</v>
      </c>
      <c r="Y211" s="56">
        <f>'Założenia-dane wejściowe '!AA106</f>
        <v>655643</v>
      </c>
      <c r="Z211" s="56">
        <f>'Założenia-dane wejściowe '!AB106</f>
        <v>655643</v>
      </c>
      <c r="AA211" s="56">
        <f>'Założenia-dane wejściowe '!AC106</f>
        <v>655643</v>
      </c>
      <c r="AB211" s="56">
        <f>'Założenia-dane wejściowe '!AD106</f>
        <v>655643</v>
      </c>
      <c r="AC211" s="56">
        <f>'Założenia-dane wejściowe '!AE106</f>
        <v>655643</v>
      </c>
      <c r="AD211" s="56">
        <f>'Założenia-dane wejściowe '!AF106</f>
        <v>655643</v>
      </c>
      <c r="AE211" s="56">
        <f>'Założenia-dane wejściowe '!AG106</f>
        <v>655643</v>
      </c>
      <c r="AF211" s="56">
        <f>'Założenia-dane wejściowe '!AH106</f>
        <v>655643</v>
      </c>
      <c r="AG211" s="56">
        <f>'Założenia-dane wejściowe '!AI106</f>
        <v>655643</v>
      </c>
    </row>
    <row r="212" spans="1:33" s="140" customFormat="1" ht="13.5" x14ac:dyDescent="0.25">
      <c r="A212" s="189" t="s">
        <v>339</v>
      </c>
      <c r="B212" s="56">
        <f>'Założenia-dane wejściowe '!D107</f>
        <v>7275669</v>
      </c>
      <c r="C212" s="56">
        <f>'Założenia-dane wejściowe '!E107</f>
        <v>7275669</v>
      </c>
      <c r="D212" s="56">
        <f>'Założenia-dane wejściowe '!F107</f>
        <v>7362977</v>
      </c>
      <c r="E212" s="56">
        <f>'Założenia-dane wejściowe '!G107</f>
        <v>7362977</v>
      </c>
      <c r="F212" s="56">
        <f>'Założenia-dane wejściowe '!H107</f>
        <v>7362977</v>
      </c>
      <c r="G212" s="56">
        <f>'Założenia-dane wejściowe '!I107</f>
        <v>7362977</v>
      </c>
      <c r="H212" s="56">
        <f>'Założenia-dane wejściowe '!J107</f>
        <v>7362977</v>
      </c>
      <c r="I212" s="56">
        <f>'Założenia-dane wejściowe '!K107</f>
        <v>7362977</v>
      </c>
      <c r="J212" s="56">
        <f>'Założenia-dane wejściowe '!L107</f>
        <v>8516280</v>
      </c>
      <c r="K212" s="56">
        <f>'Założenia-dane wejściowe '!M107</f>
        <v>8516280</v>
      </c>
      <c r="L212" s="56">
        <f>'Założenia-dane wejściowe '!N107</f>
        <v>8516280</v>
      </c>
      <c r="M212" s="56">
        <f>'Założenia-dane wejściowe '!O107</f>
        <v>8516280</v>
      </c>
      <c r="N212" s="56">
        <f>'Założenia-dane wejściowe '!P107</f>
        <v>8516280</v>
      </c>
      <c r="O212" s="56">
        <f>'Założenia-dane wejściowe '!Q107</f>
        <v>8516280</v>
      </c>
      <c r="P212" s="56">
        <f>'Założenia-dane wejściowe '!R107</f>
        <v>8516280</v>
      </c>
      <c r="Q212" s="56">
        <f>'Założenia-dane wejściowe '!S107</f>
        <v>8516280</v>
      </c>
      <c r="R212" s="56">
        <f>'Założenia-dane wejściowe '!T107</f>
        <v>8516280</v>
      </c>
      <c r="S212" s="56">
        <f>'Założenia-dane wejściowe '!U107</f>
        <v>8516280</v>
      </c>
      <c r="T212" s="56">
        <f>'Założenia-dane wejściowe '!V107</f>
        <v>8516280</v>
      </c>
      <c r="U212" s="56">
        <f>'Założenia-dane wejściowe '!W107</f>
        <v>8516280</v>
      </c>
      <c r="V212" s="56">
        <f>'Założenia-dane wejściowe '!X107</f>
        <v>8516280</v>
      </c>
      <c r="W212" s="56">
        <f>'Założenia-dane wejściowe '!Y107</f>
        <v>8516280</v>
      </c>
      <c r="X212" s="56">
        <f>'Założenia-dane wejściowe '!Z107</f>
        <v>8516280</v>
      </c>
      <c r="Y212" s="56">
        <f>'Założenia-dane wejściowe '!AA107</f>
        <v>8516280</v>
      </c>
      <c r="Z212" s="56">
        <f>'Założenia-dane wejściowe '!AB107</f>
        <v>8516280</v>
      </c>
      <c r="AA212" s="56">
        <f>'Założenia-dane wejściowe '!AC107</f>
        <v>8516280</v>
      </c>
      <c r="AB212" s="56">
        <f>'Założenia-dane wejściowe '!AD107</f>
        <v>8516280</v>
      </c>
      <c r="AC212" s="56">
        <f>'Założenia-dane wejściowe '!AE107</f>
        <v>8516280</v>
      </c>
      <c r="AD212" s="56">
        <f>'Założenia-dane wejściowe '!AF107</f>
        <v>8516280</v>
      </c>
      <c r="AE212" s="56">
        <f>'Założenia-dane wejściowe '!AG107</f>
        <v>8516280</v>
      </c>
      <c r="AF212" s="56">
        <f>'Założenia-dane wejściowe '!AH107</f>
        <v>8516280</v>
      </c>
      <c r="AG212" s="56">
        <f>'Założenia-dane wejściowe '!AI107</f>
        <v>8516280</v>
      </c>
    </row>
    <row r="213" spans="1:33" s="199" customFormat="1" ht="13.5" x14ac:dyDescent="0.25">
      <c r="A213" s="176" t="s">
        <v>83</v>
      </c>
      <c r="B213" s="192">
        <f>SUM(B205:B212)</f>
        <v>64352695</v>
      </c>
      <c r="C213" s="192">
        <f t="shared" ref="C213:AG213" si="100">SUM(C205:C212)</f>
        <v>64488151</v>
      </c>
      <c r="D213" s="192">
        <f t="shared" si="100"/>
        <v>65190329</v>
      </c>
      <c r="E213" s="192">
        <f t="shared" si="100"/>
        <v>67038329</v>
      </c>
      <c r="F213" s="192">
        <f t="shared" si="100"/>
        <v>67044885</v>
      </c>
      <c r="G213" s="192">
        <f t="shared" si="100"/>
        <v>67159405</v>
      </c>
      <c r="H213" s="192">
        <f t="shared" si="100"/>
        <v>70069405</v>
      </c>
      <c r="I213" s="192">
        <f t="shared" si="100"/>
        <v>73670247</v>
      </c>
      <c r="J213" s="192">
        <f t="shared" si="100"/>
        <v>82198407.450000003</v>
      </c>
      <c r="K213" s="192">
        <f t="shared" si="100"/>
        <v>82198407.450000003</v>
      </c>
      <c r="L213" s="192">
        <f t="shared" si="100"/>
        <v>82198407.450000003</v>
      </c>
      <c r="M213" s="192">
        <f t="shared" si="100"/>
        <v>82198407.450000003</v>
      </c>
      <c r="N213" s="192">
        <f t="shared" si="100"/>
        <v>82198407.450000003</v>
      </c>
      <c r="O213" s="192">
        <f t="shared" si="100"/>
        <v>82198407.450000003</v>
      </c>
      <c r="P213" s="192">
        <f t="shared" si="100"/>
        <v>82198407.450000003</v>
      </c>
      <c r="Q213" s="192">
        <f t="shared" si="100"/>
        <v>82198407.450000003</v>
      </c>
      <c r="R213" s="192">
        <f t="shared" si="100"/>
        <v>82198407.450000003</v>
      </c>
      <c r="S213" s="192">
        <f t="shared" si="100"/>
        <v>82198407.450000003</v>
      </c>
      <c r="T213" s="192">
        <f t="shared" si="100"/>
        <v>82472731.32249999</v>
      </c>
      <c r="U213" s="192">
        <f t="shared" si="100"/>
        <v>82472731.32249999</v>
      </c>
      <c r="V213" s="192">
        <f t="shared" si="100"/>
        <v>82472731.32249999</v>
      </c>
      <c r="W213" s="192">
        <f t="shared" si="100"/>
        <v>82472731.32249999</v>
      </c>
      <c r="X213" s="192">
        <f t="shared" si="100"/>
        <v>81502731.32249999</v>
      </c>
      <c r="Y213" s="192">
        <f t="shared" si="100"/>
        <v>79837055.194999993</v>
      </c>
      <c r="Z213" s="192">
        <f t="shared" si="100"/>
        <v>82357055.194999993</v>
      </c>
      <c r="AA213" s="192">
        <f t="shared" si="100"/>
        <v>82357055.194999993</v>
      </c>
      <c r="AB213" s="192">
        <f t="shared" si="100"/>
        <v>82357055.194999993</v>
      </c>
      <c r="AC213" s="192">
        <f t="shared" si="100"/>
        <v>82357055.194999993</v>
      </c>
      <c r="AD213" s="192">
        <f t="shared" si="100"/>
        <v>82631379.067499995</v>
      </c>
      <c r="AE213" s="192">
        <f t="shared" si="100"/>
        <v>82631379.067499995</v>
      </c>
      <c r="AF213" s="192">
        <f t="shared" si="100"/>
        <v>82631379.067499995</v>
      </c>
      <c r="AG213" s="192">
        <f t="shared" si="100"/>
        <v>82631379.067499995</v>
      </c>
    </row>
    <row r="214" spans="1:33" s="244" customFormat="1" hidden="1" x14ac:dyDescent="0.2">
      <c r="A214" s="241"/>
      <c r="B214" s="242"/>
      <c r="C214" s="242"/>
      <c r="D214" s="245">
        <v>1</v>
      </c>
      <c r="E214" s="245">
        <v>2</v>
      </c>
      <c r="F214" s="245">
        <v>3</v>
      </c>
      <c r="G214" s="245">
        <v>4</v>
      </c>
      <c r="H214" s="245">
        <v>5</v>
      </c>
      <c r="I214" s="245">
        <v>6</v>
      </c>
      <c r="J214" s="245">
        <v>7</v>
      </c>
      <c r="K214" s="245">
        <v>8</v>
      </c>
      <c r="L214" s="245">
        <v>9</v>
      </c>
      <c r="M214" s="245">
        <v>10</v>
      </c>
      <c r="N214" s="245">
        <v>11</v>
      </c>
      <c r="O214" s="245">
        <v>12</v>
      </c>
      <c r="P214" s="245">
        <v>13</v>
      </c>
      <c r="Q214" s="245">
        <v>14</v>
      </c>
      <c r="R214" s="245">
        <v>15</v>
      </c>
      <c r="S214" s="245">
        <v>16</v>
      </c>
      <c r="T214" s="245">
        <v>17</v>
      </c>
      <c r="U214" s="245">
        <v>18</v>
      </c>
      <c r="V214" s="245">
        <v>19</v>
      </c>
      <c r="W214" s="245">
        <v>20</v>
      </c>
      <c r="X214" s="245">
        <v>21</v>
      </c>
      <c r="Y214" s="245">
        <v>22</v>
      </c>
      <c r="Z214" s="245">
        <v>23</v>
      </c>
      <c r="AA214" s="245">
        <v>24</v>
      </c>
      <c r="AB214" s="245">
        <v>25</v>
      </c>
      <c r="AC214" s="245">
        <v>26</v>
      </c>
      <c r="AD214" s="245">
        <v>27</v>
      </c>
      <c r="AE214" s="245">
        <v>28</v>
      </c>
      <c r="AF214" s="245">
        <v>29</v>
      </c>
      <c r="AG214" s="245">
        <v>30</v>
      </c>
    </row>
    <row r="215" spans="1:33" s="244" customFormat="1" ht="15.75" x14ac:dyDescent="0.2">
      <c r="A215" s="233" t="s">
        <v>411</v>
      </c>
      <c r="B215" s="245"/>
      <c r="C215" s="245"/>
    </row>
    <row r="216" spans="1:33" s="188" customFormat="1" ht="13.5" x14ac:dyDescent="0.25">
      <c r="A216" s="184" t="s">
        <v>81</v>
      </c>
      <c r="B216" s="187">
        <f>B192</f>
        <v>2013</v>
      </c>
      <c r="C216" s="187">
        <f>B216+1</f>
        <v>2014</v>
      </c>
      <c r="D216" s="187">
        <f t="shared" ref="D216:AG216" si="101">C216+1</f>
        <v>2015</v>
      </c>
      <c r="E216" s="187">
        <f t="shared" si="101"/>
        <v>2016</v>
      </c>
      <c r="F216" s="187">
        <f t="shared" si="101"/>
        <v>2017</v>
      </c>
      <c r="G216" s="187">
        <f t="shared" si="101"/>
        <v>2018</v>
      </c>
      <c r="H216" s="187">
        <f t="shared" si="101"/>
        <v>2019</v>
      </c>
      <c r="I216" s="187">
        <f t="shared" si="101"/>
        <v>2020</v>
      </c>
      <c r="J216" s="187">
        <f t="shared" si="101"/>
        <v>2021</v>
      </c>
      <c r="K216" s="187">
        <f t="shared" si="101"/>
        <v>2022</v>
      </c>
      <c r="L216" s="187">
        <f t="shared" si="101"/>
        <v>2023</v>
      </c>
      <c r="M216" s="187">
        <f t="shared" si="101"/>
        <v>2024</v>
      </c>
      <c r="N216" s="187">
        <f t="shared" si="101"/>
        <v>2025</v>
      </c>
      <c r="O216" s="187">
        <f t="shared" si="101"/>
        <v>2026</v>
      </c>
      <c r="P216" s="187">
        <f t="shared" si="101"/>
        <v>2027</v>
      </c>
      <c r="Q216" s="187">
        <f t="shared" si="101"/>
        <v>2028</v>
      </c>
      <c r="R216" s="187">
        <f t="shared" si="101"/>
        <v>2029</v>
      </c>
      <c r="S216" s="187">
        <f t="shared" si="101"/>
        <v>2030</v>
      </c>
      <c r="T216" s="187">
        <f t="shared" si="101"/>
        <v>2031</v>
      </c>
      <c r="U216" s="187">
        <f t="shared" si="101"/>
        <v>2032</v>
      </c>
      <c r="V216" s="187">
        <f t="shared" si="101"/>
        <v>2033</v>
      </c>
      <c r="W216" s="187">
        <f t="shared" si="101"/>
        <v>2034</v>
      </c>
      <c r="X216" s="187">
        <f t="shared" si="101"/>
        <v>2035</v>
      </c>
      <c r="Y216" s="187">
        <f t="shared" si="101"/>
        <v>2036</v>
      </c>
      <c r="Z216" s="187">
        <f t="shared" si="101"/>
        <v>2037</v>
      </c>
      <c r="AA216" s="187">
        <f t="shared" si="101"/>
        <v>2038</v>
      </c>
      <c r="AB216" s="187">
        <f t="shared" si="101"/>
        <v>2039</v>
      </c>
      <c r="AC216" s="187">
        <f t="shared" si="101"/>
        <v>2040</v>
      </c>
      <c r="AD216" s="187">
        <f t="shared" si="101"/>
        <v>2041</v>
      </c>
      <c r="AE216" s="187">
        <f t="shared" si="101"/>
        <v>2042</v>
      </c>
      <c r="AF216" s="187">
        <f t="shared" si="101"/>
        <v>2043</v>
      </c>
      <c r="AG216" s="187">
        <f t="shared" si="101"/>
        <v>2044</v>
      </c>
    </row>
    <row r="217" spans="1:33" s="188" customFormat="1" ht="13.5" x14ac:dyDescent="0.25">
      <c r="A217" s="189" t="s">
        <v>82</v>
      </c>
      <c r="B217" s="56">
        <f>B20+B28</f>
        <v>0</v>
      </c>
      <c r="C217" s="56">
        <f t="shared" ref="C217:AF217" si="102">C20+C28</f>
        <v>0</v>
      </c>
      <c r="D217" s="56">
        <f t="shared" si="102"/>
        <v>0</v>
      </c>
      <c r="E217" s="56">
        <f t="shared" si="102"/>
        <v>0</v>
      </c>
      <c r="F217" s="56">
        <f t="shared" si="102"/>
        <v>0</v>
      </c>
      <c r="G217" s="56">
        <f t="shared" si="102"/>
        <v>0</v>
      </c>
      <c r="H217" s="56">
        <f t="shared" si="102"/>
        <v>0</v>
      </c>
      <c r="I217" s="56">
        <f t="shared" si="102"/>
        <v>0</v>
      </c>
      <c r="J217" s="56">
        <f t="shared" si="102"/>
        <v>5140307.875</v>
      </c>
      <c r="K217" s="56">
        <f t="shared" si="102"/>
        <v>5140307.875</v>
      </c>
      <c r="L217" s="56">
        <f t="shared" si="102"/>
        <v>5140307.875</v>
      </c>
      <c r="M217" s="56">
        <f t="shared" si="102"/>
        <v>5140307.875</v>
      </c>
      <c r="N217" s="56">
        <f t="shared" si="102"/>
        <v>5140307.875</v>
      </c>
      <c r="O217" s="56">
        <f t="shared" si="102"/>
        <v>5140307.875</v>
      </c>
      <c r="P217" s="56">
        <f t="shared" si="102"/>
        <v>5140307.875</v>
      </c>
      <c r="Q217" s="56">
        <f t="shared" si="102"/>
        <v>5140307.875</v>
      </c>
      <c r="R217" s="56">
        <f t="shared" si="102"/>
        <v>5140307.875</v>
      </c>
      <c r="S217" s="56">
        <f t="shared" si="102"/>
        <v>5140307.875</v>
      </c>
      <c r="T217" s="56">
        <f t="shared" si="102"/>
        <v>5387345.7687499998</v>
      </c>
      <c r="U217" s="56">
        <f t="shared" si="102"/>
        <v>5387345.7687499998</v>
      </c>
      <c r="V217" s="56">
        <f t="shared" si="102"/>
        <v>5387345.7687499998</v>
      </c>
      <c r="W217" s="56">
        <f t="shared" si="102"/>
        <v>5387345.7687499998</v>
      </c>
      <c r="X217" s="56">
        <f t="shared" si="102"/>
        <v>5387345.7687499998</v>
      </c>
      <c r="Y217" s="56">
        <f t="shared" si="102"/>
        <v>5634383.6624999996</v>
      </c>
      <c r="Z217" s="56">
        <f t="shared" si="102"/>
        <v>5634383.6624999996</v>
      </c>
      <c r="AA217" s="56">
        <f t="shared" si="102"/>
        <v>5634383.6624999996</v>
      </c>
      <c r="AB217" s="56">
        <f t="shared" si="102"/>
        <v>5634383.6624999996</v>
      </c>
      <c r="AC217" s="56">
        <f t="shared" si="102"/>
        <v>5634383.6624999996</v>
      </c>
      <c r="AD217" s="56">
        <f t="shared" si="102"/>
        <v>5881421.5562500004</v>
      </c>
      <c r="AE217" s="56">
        <f t="shared" si="102"/>
        <v>5881421.5562500004</v>
      </c>
      <c r="AF217" s="56">
        <f t="shared" si="102"/>
        <v>5881421.5562500004</v>
      </c>
      <c r="AG217" s="56">
        <f>AG20+AG28</f>
        <v>5881421.5562500004</v>
      </c>
    </row>
    <row r="218" spans="1:33" s="188" customFormat="1" ht="13.5" x14ac:dyDescent="0.25">
      <c r="A218" s="190" t="s">
        <v>340</v>
      </c>
      <c r="B218" s="56">
        <f>'Założenia-dane wejściowe '!D72-'Założenia-dane wejściowe '!D32</f>
        <v>0</v>
      </c>
      <c r="C218" s="56">
        <f>'Założenia-dane wejściowe '!E72-'Założenia-dane wejściowe '!E32</f>
        <v>0</v>
      </c>
      <c r="D218" s="56">
        <f>'Założenia-dane wejściowe '!F72-'Założenia-dane wejściowe '!F32</f>
        <v>0</v>
      </c>
      <c r="E218" s="56">
        <f>'Założenia-dane wejściowe '!G72-'Założenia-dane wejściowe '!G32</f>
        <v>294000</v>
      </c>
      <c r="F218" s="56">
        <f>'Założenia-dane wejściowe '!H72-'Założenia-dane wejściowe '!H32</f>
        <v>294000</v>
      </c>
      <c r="G218" s="56">
        <f>'Założenia-dane wejściowe '!I72-'Założenia-dane wejściowe '!I32</f>
        <v>294000</v>
      </c>
      <c r="H218" s="56">
        <f>'Założenia-dane wejściowe '!J72-'Założenia-dane wejściowe '!J32</f>
        <v>294000</v>
      </c>
      <c r="I218" s="56">
        <f>'Założenia-dane wejściowe '!K72-'Założenia-dane wejściowe '!K32</f>
        <v>294000</v>
      </c>
      <c r="J218" s="56">
        <f>'Założenia-dane wejściowe '!L72-'Założenia-dane wejściowe '!L32</f>
        <v>294000</v>
      </c>
      <c r="K218" s="56">
        <f>'Założenia-dane wejściowe '!M72-'Założenia-dane wejściowe '!M32</f>
        <v>294000</v>
      </c>
      <c r="L218" s="56">
        <f>'Założenia-dane wejściowe '!N72-'Założenia-dane wejściowe '!N32</f>
        <v>294000</v>
      </c>
      <c r="M218" s="56">
        <f>'Założenia-dane wejściowe '!O72-'Założenia-dane wejściowe '!O32</f>
        <v>294000</v>
      </c>
      <c r="N218" s="56">
        <f>'Założenia-dane wejściowe '!P72-'Założenia-dane wejściowe '!P32</f>
        <v>294000</v>
      </c>
      <c r="O218" s="56">
        <f>'Założenia-dane wejściowe '!Q72-'Założenia-dane wejściowe '!Q32</f>
        <v>294000</v>
      </c>
      <c r="P218" s="56">
        <f>'Założenia-dane wejściowe '!R72-'Założenia-dane wejściowe '!R32</f>
        <v>294000</v>
      </c>
      <c r="Q218" s="56">
        <f>'Założenia-dane wejściowe '!S72-'Założenia-dane wejściowe '!S32</f>
        <v>294000</v>
      </c>
      <c r="R218" s="56">
        <f>'Założenia-dane wejściowe '!T72-'Założenia-dane wejściowe '!T32</f>
        <v>294000</v>
      </c>
      <c r="S218" s="56">
        <f>'Założenia-dane wejściowe '!U72-'Założenia-dane wejściowe '!U32</f>
        <v>294000</v>
      </c>
      <c r="T218" s="56">
        <f>'Założenia-dane wejściowe '!V72-'Założenia-dane wejściowe '!V32</f>
        <v>294000</v>
      </c>
      <c r="U218" s="56">
        <f>'Założenia-dane wejściowe '!W72-'Założenia-dane wejściowe '!W32</f>
        <v>294000</v>
      </c>
      <c r="V218" s="56">
        <f>'Założenia-dane wejściowe '!X72-'Założenia-dane wejściowe '!X32</f>
        <v>294000</v>
      </c>
      <c r="W218" s="56">
        <f>'Założenia-dane wejściowe '!Y72-'Założenia-dane wejściowe '!Y32</f>
        <v>294000</v>
      </c>
      <c r="X218" s="56">
        <f>'Założenia-dane wejściowe '!Z72-'Założenia-dane wejściowe '!Z32</f>
        <v>294000</v>
      </c>
      <c r="Y218" s="56">
        <f>'Założenia-dane wejściowe '!AA72-'Założenia-dane wejściowe '!AA32</f>
        <v>294000</v>
      </c>
      <c r="Z218" s="56">
        <f>'Założenia-dane wejściowe '!AB72-'Założenia-dane wejściowe '!AB32</f>
        <v>294000</v>
      </c>
      <c r="AA218" s="56">
        <f>'Założenia-dane wejściowe '!AC72-'Założenia-dane wejściowe '!AC32</f>
        <v>294000</v>
      </c>
      <c r="AB218" s="56">
        <f>'Założenia-dane wejściowe '!AD72-'Założenia-dane wejściowe '!AD32</f>
        <v>294000</v>
      </c>
      <c r="AC218" s="56">
        <f>'Założenia-dane wejściowe '!AE72-'Założenia-dane wejściowe '!AE32</f>
        <v>294000</v>
      </c>
      <c r="AD218" s="56">
        <f>'Założenia-dane wejściowe '!AF72-'Założenia-dane wejściowe '!AF32</f>
        <v>294000</v>
      </c>
      <c r="AE218" s="56">
        <f>'Założenia-dane wejściowe '!AG72-'Założenia-dane wejściowe '!AG32</f>
        <v>294000</v>
      </c>
      <c r="AF218" s="56">
        <f>'Założenia-dane wejściowe '!AH72-'Założenia-dane wejściowe '!AH32</f>
        <v>294000</v>
      </c>
      <c r="AG218" s="56">
        <f>'Założenia-dane wejściowe '!AI72-'Założenia-dane wejściowe '!AI32</f>
        <v>294000</v>
      </c>
    </row>
    <row r="219" spans="1:33" s="188" customFormat="1" ht="13.5" x14ac:dyDescent="0.25">
      <c r="A219" s="189" t="s">
        <v>341</v>
      </c>
      <c r="B219" s="56">
        <f>'Założenia-dane wejściowe '!D73-'Założenia-dane wejściowe '!D33</f>
        <v>0</v>
      </c>
      <c r="C219" s="56">
        <f>'Założenia-dane wejściowe '!E73-'Założenia-dane wejściowe '!E33</f>
        <v>0</v>
      </c>
      <c r="D219" s="56">
        <f>'Założenia-dane wejściowe '!F73-'Założenia-dane wejściowe '!F33</f>
        <v>0</v>
      </c>
      <c r="E219" s="56">
        <f>'Założenia-dane wejściowe '!G73-'Założenia-dane wejściowe '!G33</f>
        <v>0</v>
      </c>
      <c r="F219" s="56">
        <f>'Założenia-dane wejściowe '!H73-'Założenia-dane wejściowe '!H33</f>
        <v>0</v>
      </c>
      <c r="G219" s="56">
        <f>'Założenia-dane wejściowe '!I73-'Założenia-dane wejściowe '!I33</f>
        <v>0</v>
      </c>
      <c r="H219" s="56">
        <f>'Założenia-dane wejściowe '!J73-'Założenia-dane wejściowe '!J33</f>
        <v>0</v>
      </c>
      <c r="I219" s="56">
        <f>'Założenia-dane wejściowe '!K73-'Założenia-dane wejściowe '!K33</f>
        <v>0</v>
      </c>
      <c r="J219" s="56">
        <f>'Założenia-dane wejściowe '!L73-'Założenia-dane wejściowe '!L33</f>
        <v>388661</v>
      </c>
      <c r="K219" s="56">
        <f>'Założenia-dane wejściowe '!M73-'Założenia-dane wejściowe '!M33</f>
        <v>388661</v>
      </c>
      <c r="L219" s="56">
        <f>'Założenia-dane wejściowe '!N73-'Założenia-dane wejściowe '!N33</f>
        <v>388661</v>
      </c>
      <c r="M219" s="56">
        <f>'Założenia-dane wejściowe '!O73-'Założenia-dane wejściowe '!O33</f>
        <v>388661</v>
      </c>
      <c r="N219" s="56">
        <f>'Założenia-dane wejściowe '!P73-'Założenia-dane wejściowe '!P33</f>
        <v>388661</v>
      </c>
      <c r="O219" s="56">
        <f>'Założenia-dane wejściowe '!Q73-'Założenia-dane wejściowe '!Q33</f>
        <v>388661</v>
      </c>
      <c r="P219" s="56">
        <f>'Założenia-dane wejściowe '!R73-'Założenia-dane wejściowe '!R33</f>
        <v>388661</v>
      </c>
      <c r="Q219" s="56">
        <f>'Założenia-dane wejściowe '!S73-'Założenia-dane wejściowe '!S33</f>
        <v>388661</v>
      </c>
      <c r="R219" s="56">
        <f>'Założenia-dane wejściowe '!T73-'Założenia-dane wejściowe '!T33</f>
        <v>388661</v>
      </c>
      <c r="S219" s="56">
        <f>'Założenia-dane wejściowe '!U73-'Założenia-dane wejściowe '!U33</f>
        <v>388661</v>
      </c>
      <c r="T219" s="56">
        <f>'Założenia-dane wejściowe '!V73-'Założenia-dane wejściowe '!V33</f>
        <v>388661</v>
      </c>
      <c r="U219" s="56">
        <f>'Założenia-dane wejściowe '!W73-'Założenia-dane wejściowe '!W33</f>
        <v>388661</v>
      </c>
      <c r="V219" s="56">
        <f>'Założenia-dane wejściowe '!X73-'Założenia-dane wejściowe '!X33</f>
        <v>388661</v>
      </c>
      <c r="W219" s="56">
        <f>'Założenia-dane wejściowe '!Y73-'Założenia-dane wejściowe '!Y33</f>
        <v>388661</v>
      </c>
      <c r="X219" s="56">
        <f>'Założenia-dane wejściowe '!Z73-'Założenia-dane wejściowe '!Z33</f>
        <v>388661</v>
      </c>
      <c r="Y219" s="56">
        <f>'Założenia-dane wejściowe '!AA73-'Założenia-dane wejściowe '!AA33</f>
        <v>388661</v>
      </c>
      <c r="Z219" s="56">
        <f>'Założenia-dane wejściowe '!AB73-'Założenia-dane wejściowe '!AB33</f>
        <v>388661</v>
      </c>
      <c r="AA219" s="56">
        <f>'Założenia-dane wejściowe '!AC73-'Założenia-dane wejściowe '!AC33</f>
        <v>388661</v>
      </c>
      <c r="AB219" s="56">
        <f>'Założenia-dane wejściowe '!AD73-'Założenia-dane wejściowe '!AD33</f>
        <v>388661</v>
      </c>
      <c r="AC219" s="56">
        <f>'Założenia-dane wejściowe '!AE73-'Założenia-dane wejściowe '!AE33</f>
        <v>388661</v>
      </c>
      <c r="AD219" s="56">
        <f>'Założenia-dane wejściowe '!AF73-'Założenia-dane wejściowe '!AF33</f>
        <v>388661</v>
      </c>
      <c r="AE219" s="56">
        <f>'Założenia-dane wejściowe '!AG73-'Założenia-dane wejściowe '!AG33</f>
        <v>388661</v>
      </c>
      <c r="AF219" s="56">
        <f>'Założenia-dane wejściowe '!AH73-'Założenia-dane wejściowe '!AH33</f>
        <v>388661</v>
      </c>
      <c r="AG219" s="56">
        <f>'Założenia-dane wejściowe '!AI73-'Założenia-dane wejściowe '!AI33</f>
        <v>388661</v>
      </c>
    </row>
    <row r="220" spans="1:33" s="188" customFormat="1" ht="13.5" x14ac:dyDescent="0.25">
      <c r="A220" s="189" t="s">
        <v>342</v>
      </c>
      <c r="B220" s="56">
        <f>'Założenia-dane wejściowe '!D74-'Założenia-dane wejściowe '!D34</f>
        <v>0</v>
      </c>
      <c r="C220" s="56">
        <f>'Założenia-dane wejściowe '!E74-'Założenia-dane wejściowe '!E34</f>
        <v>0</v>
      </c>
      <c r="D220" s="56">
        <f>'Założenia-dane wejściowe '!F74-'Założenia-dane wejściowe '!F34</f>
        <v>0</v>
      </c>
      <c r="E220" s="56">
        <f>'Założenia-dane wejściowe '!G74-'Założenia-dane wejściowe '!G34</f>
        <v>0</v>
      </c>
      <c r="F220" s="56">
        <f>'Założenia-dane wejściowe '!H74-'Założenia-dane wejściowe '!H34</f>
        <v>0</v>
      </c>
      <c r="G220" s="56">
        <f>'Założenia-dane wejściowe '!I74-'Założenia-dane wejściowe '!I34</f>
        <v>0</v>
      </c>
      <c r="H220" s="56">
        <f>'Założenia-dane wejściowe '!J74-'Założenia-dane wejściowe '!J34</f>
        <v>0</v>
      </c>
      <c r="I220" s="56">
        <f>'Założenia-dane wejściowe '!K74-'Założenia-dane wejściowe '!K34</f>
        <v>0</v>
      </c>
      <c r="J220" s="56">
        <f>'Założenia-dane wejściowe '!L74-'Założenia-dane wejściowe '!L34</f>
        <v>546555</v>
      </c>
      <c r="K220" s="56">
        <f>'Założenia-dane wejściowe '!M74-'Założenia-dane wejściowe '!M34</f>
        <v>546555</v>
      </c>
      <c r="L220" s="56">
        <f>'Założenia-dane wejściowe '!N74-'Założenia-dane wejściowe '!N34</f>
        <v>546555</v>
      </c>
      <c r="M220" s="56">
        <f>'Założenia-dane wejściowe '!O74-'Założenia-dane wejściowe '!O34</f>
        <v>546555</v>
      </c>
      <c r="N220" s="56">
        <f>'Założenia-dane wejściowe '!P74-'Założenia-dane wejściowe '!P34</f>
        <v>546555</v>
      </c>
      <c r="O220" s="56">
        <f>'Założenia-dane wejściowe '!Q74-'Założenia-dane wejściowe '!Q34</f>
        <v>546555</v>
      </c>
      <c r="P220" s="56">
        <f>'Założenia-dane wejściowe '!R74-'Założenia-dane wejściowe '!R34</f>
        <v>546555</v>
      </c>
      <c r="Q220" s="56">
        <f>'Założenia-dane wejściowe '!S74-'Założenia-dane wejściowe '!S34</f>
        <v>546555</v>
      </c>
      <c r="R220" s="56">
        <f>'Założenia-dane wejściowe '!T74-'Założenia-dane wejściowe '!T34</f>
        <v>546555</v>
      </c>
      <c r="S220" s="56">
        <f>'Założenia-dane wejściowe '!U74-'Założenia-dane wejściowe '!U34</f>
        <v>546555</v>
      </c>
      <c r="T220" s="56">
        <f>'Założenia-dane wejściowe '!V74-'Założenia-dane wejściowe '!V34</f>
        <v>546555</v>
      </c>
      <c r="U220" s="56">
        <f>'Założenia-dane wejściowe '!W74-'Założenia-dane wejściowe '!W34</f>
        <v>546555</v>
      </c>
      <c r="V220" s="56">
        <f>'Założenia-dane wejściowe '!X74-'Założenia-dane wejściowe '!X34</f>
        <v>546555</v>
      </c>
      <c r="W220" s="56">
        <f>'Założenia-dane wejściowe '!Y74-'Założenia-dane wejściowe '!Y34</f>
        <v>546555</v>
      </c>
      <c r="X220" s="56">
        <f>'Założenia-dane wejściowe '!Z74-'Założenia-dane wejściowe '!Z34</f>
        <v>546555</v>
      </c>
      <c r="Y220" s="56">
        <f>'Założenia-dane wejściowe '!AA74-'Założenia-dane wejściowe '!AA34</f>
        <v>546555</v>
      </c>
      <c r="Z220" s="56">
        <f>'Założenia-dane wejściowe '!AB74-'Założenia-dane wejściowe '!AB34</f>
        <v>546555</v>
      </c>
      <c r="AA220" s="56">
        <f>'Założenia-dane wejściowe '!AC74-'Założenia-dane wejściowe '!AC34</f>
        <v>546555</v>
      </c>
      <c r="AB220" s="56">
        <f>'Założenia-dane wejściowe '!AD74-'Założenia-dane wejściowe '!AD34</f>
        <v>546555</v>
      </c>
      <c r="AC220" s="56">
        <f>'Założenia-dane wejściowe '!AE74-'Założenia-dane wejściowe '!AE34</f>
        <v>546555</v>
      </c>
      <c r="AD220" s="56">
        <f>'Założenia-dane wejściowe '!AF74-'Założenia-dane wejściowe '!AF34</f>
        <v>546555</v>
      </c>
      <c r="AE220" s="56">
        <f>'Założenia-dane wejściowe '!AG74-'Założenia-dane wejściowe '!AG34</f>
        <v>546555</v>
      </c>
      <c r="AF220" s="56">
        <f>'Założenia-dane wejściowe '!AH74-'Założenia-dane wejściowe '!AH34</f>
        <v>546555</v>
      </c>
      <c r="AG220" s="56">
        <f>'Założenia-dane wejściowe '!AI74-'Założenia-dane wejściowe '!AI34</f>
        <v>546555</v>
      </c>
    </row>
    <row r="221" spans="1:33" s="188" customFormat="1" ht="13.5" x14ac:dyDescent="0.25">
      <c r="A221" s="189" t="s">
        <v>343</v>
      </c>
      <c r="B221" s="56">
        <f>'Założenia-dane wejściowe '!D75-'Założenia-dane wejściowe '!D35</f>
        <v>0</v>
      </c>
      <c r="C221" s="56">
        <f>'Założenia-dane wejściowe '!E75-'Założenia-dane wejściowe '!E35</f>
        <v>0</v>
      </c>
      <c r="D221" s="56">
        <f>'Założenia-dane wejściowe '!F75-'Założenia-dane wejściowe '!F35</f>
        <v>0</v>
      </c>
      <c r="E221" s="56">
        <f>'Założenia-dane wejściowe '!G75-'Założenia-dane wejściowe '!G35</f>
        <v>0</v>
      </c>
      <c r="F221" s="56">
        <f>'Założenia-dane wejściowe '!H75-'Założenia-dane wejściowe '!H35</f>
        <v>0</v>
      </c>
      <c r="G221" s="56">
        <f>'Założenia-dane wejściowe '!I75-'Założenia-dane wejściowe '!I35</f>
        <v>0</v>
      </c>
      <c r="H221" s="56">
        <f>'Założenia-dane wejściowe '!J75-'Założenia-dane wejściowe '!J35</f>
        <v>0</v>
      </c>
      <c r="I221" s="56">
        <f>'Założenia-dane wejściowe '!K75-'Założenia-dane wejściowe '!K35</f>
        <v>0</v>
      </c>
      <c r="J221" s="56">
        <f>'Założenia-dane wejściowe '!L75-'Założenia-dane wejściowe '!L35</f>
        <v>4112246.3000000007</v>
      </c>
      <c r="K221" s="56">
        <f>'Założenia-dane wejściowe '!M75-'Założenia-dane wejściowe '!M35</f>
        <v>4112246.3000000007</v>
      </c>
      <c r="L221" s="56">
        <f>'Założenia-dane wejściowe '!N75-'Założenia-dane wejściowe '!N35</f>
        <v>4112246.3000000007</v>
      </c>
      <c r="M221" s="56">
        <f>'Założenia-dane wejściowe '!O75-'Założenia-dane wejściowe '!O35</f>
        <v>4112246.3000000007</v>
      </c>
      <c r="N221" s="56">
        <f>'Założenia-dane wejściowe '!P75-'Założenia-dane wejściowe '!P35</f>
        <v>4112246.3000000007</v>
      </c>
      <c r="O221" s="56">
        <f>'Założenia-dane wejściowe '!Q75-'Założenia-dane wejściowe '!Q35</f>
        <v>4112246.3000000007</v>
      </c>
      <c r="P221" s="56">
        <f>'Założenia-dane wejściowe '!R75-'Założenia-dane wejściowe '!R35</f>
        <v>4112246.3000000007</v>
      </c>
      <c r="Q221" s="56">
        <f>'Założenia-dane wejściowe '!S75-'Założenia-dane wejściowe '!S35</f>
        <v>4112246.3000000007</v>
      </c>
      <c r="R221" s="56">
        <f>'Założenia-dane wejściowe '!T75-'Założenia-dane wejściowe '!T35</f>
        <v>4112246.3000000007</v>
      </c>
      <c r="S221" s="56">
        <f>'Założenia-dane wejściowe '!U75-'Założenia-dane wejściowe '!U35</f>
        <v>4112246.3000000007</v>
      </c>
      <c r="T221" s="56">
        <f>'Założenia-dane wejściowe '!V75-'Założenia-dane wejściowe '!V35</f>
        <v>4112246.3000000007</v>
      </c>
      <c r="U221" s="56">
        <f>'Założenia-dane wejściowe '!W75-'Założenia-dane wejściowe '!W35</f>
        <v>4112246.3000000007</v>
      </c>
      <c r="V221" s="56">
        <f>'Założenia-dane wejściowe '!X75-'Założenia-dane wejściowe '!X35</f>
        <v>4112246.3000000007</v>
      </c>
      <c r="W221" s="56">
        <f>'Założenia-dane wejściowe '!Y75-'Założenia-dane wejściowe '!Y35</f>
        <v>4112246.3000000007</v>
      </c>
      <c r="X221" s="56">
        <f>'Założenia-dane wejściowe '!Z75-'Założenia-dane wejściowe '!Z35</f>
        <v>4112246.3000000007</v>
      </c>
      <c r="Y221" s="56">
        <f>'Założenia-dane wejściowe '!AA75-'Założenia-dane wejściowe '!AA35</f>
        <v>4112246.3000000007</v>
      </c>
      <c r="Z221" s="56">
        <f>'Założenia-dane wejściowe '!AB75-'Założenia-dane wejściowe '!AB35</f>
        <v>4112246.3000000007</v>
      </c>
      <c r="AA221" s="56">
        <f>'Założenia-dane wejściowe '!AC75-'Założenia-dane wejściowe '!AC35</f>
        <v>4112246.3000000007</v>
      </c>
      <c r="AB221" s="56">
        <f>'Założenia-dane wejściowe '!AD75-'Założenia-dane wejściowe '!AD35</f>
        <v>4112246.3000000007</v>
      </c>
      <c r="AC221" s="56">
        <f>'Założenia-dane wejściowe '!AE75-'Założenia-dane wejściowe '!AE35</f>
        <v>4112246.3000000007</v>
      </c>
      <c r="AD221" s="56">
        <f>'Założenia-dane wejściowe '!AF75-'Założenia-dane wejściowe '!AF35</f>
        <v>4112246.3000000007</v>
      </c>
      <c r="AE221" s="56">
        <f>'Założenia-dane wejściowe '!AG75-'Założenia-dane wejściowe '!AG35</f>
        <v>4112246.3000000007</v>
      </c>
      <c r="AF221" s="56">
        <f>'Założenia-dane wejściowe '!AH75-'Założenia-dane wejściowe '!AH35</f>
        <v>4112246.3000000007</v>
      </c>
      <c r="AG221" s="56">
        <f>'Założenia-dane wejściowe '!AI75-'Założenia-dane wejściowe '!AI35</f>
        <v>4112246.3000000007</v>
      </c>
    </row>
    <row r="222" spans="1:33" s="191" customFormat="1" ht="13.5" x14ac:dyDescent="0.25">
      <c r="A222" s="189" t="s">
        <v>344</v>
      </c>
      <c r="B222" s="56">
        <f>'Założenia-dane wejściowe '!D76-'Założenia-dane wejściowe '!D36</f>
        <v>0</v>
      </c>
      <c r="C222" s="56">
        <f>'Założenia-dane wejściowe '!E76-'Założenia-dane wejściowe '!E36</f>
        <v>0</v>
      </c>
      <c r="D222" s="56">
        <f>'Założenia-dane wejściowe '!F76-'Założenia-dane wejściowe '!F36</f>
        <v>0</v>
      </c>
      <c r="E222" s="56">
        <f>'Założenia-dane wejściowe '!G76-'Założenia-dane wejściowe '!G36</f>
        <v>0</v>
      </c>
      <c r="F222" s="56">
        <f>'Założenia-dane wejściowe '!H76-'Założenia-dane wejściowe '!H36</f>
        <v>0</v>
      </c>
      <c r="G222" s="56">
        <f>'Założenia-dane wejściowe '!I76-'Założenia-dane wejściowe '!I36</f>
        <v>0</v>
      </c>
      <c r="H222" s="56">
        <f>'Założenia-dane wejściowe '!J76-'Założenia-dane wejściowe '!J36</f>
        <v>0</v>
      </c>
      <c r="I222" s="56">
        <f>'Założenia-dane wejściowe '!K76-'Założenia-dane wejściowe '!K36</f>
        <v>0</v>
      </c>
      <c r="J222" s="56">
        <f>'Założenia-dane wejściowe '!L76-'Założenia-dane wejściowe '!L36</f>
        <v>242913</v>
      </c>
      <c r="K222" s="56">
        <f>'Założenia-dane wejściowe '!M76-'Założenia-dane wejściowe '!M36</f>
        <v>242913</v>
      </c>
      <c r="L222" s="56">
        <f>'Założenia-dane wejściowe '!N76-'Założenia-dane wejściowe '!N36</f>
        <v>242913</v>
      </c>
      <c r="M222" s="56">
        <f>'Założenia-dane wejściowe '!O76-'Założenia-dane wejściowe '!O36</f>
        <v>242913</v>
      </c>
      <c r="N222" s="56">
        <f>'Założenia-dane wejściowe '!P76-'Założenia-dane wejściowe '!P36</f>
        <v>242913</v>
      </c>
      <c r="O222" s="56">
        <f>'Założenia-dane wejściowe '!Q76-'Założenia-dane wejściowe '!Q36</f>
        <v>242913</v>
      </c>
      <c r="P222" s="56">
        <f>'Założenia-dane wejściowe '!R76-'Założenia-dane wejściowe '!R36</f>
        <v>242913</v>
      </c>
      <c r="Q222" s="56">
        <f>'Założenia-dane wejściowe '!S76-'Założenia-dane wejściowe '!S36</f>
        <v>242913</v>
      </c>
      <c r="R222" s="56">
        <f>'Założenia-dane wejściowe '!T76-'Założenia-dane wejściowe '!T36</f>
        <v>242913</v>
      </c>
      <c r="S222" s="56">
        <f>'Założenia-dane wejściowe '!U76-'Założenia-dane wejściowe '!U36</f>
        <v>242913</v>
      </c>
      <c r="T222" s="56">
        <f>'Założenia-dane wejściowe '!V76-'Założenia-dane wejściowe '!V36</f>
        <v>242913</v>
      </c>
      <c r="U222" s="56">
        <f>'Założenia-dane wejściowe '!W76-'Założenia-dane wejściowe '!W36</f>
        <v>242913</v>
      </c>
      <c r="V222" s="56">
        <f>'Założenia-dane wejściowe '!X76-'Założenia-dane wejściowe '!X36</f>
        <v>242913</v>
      </c>
      <c r="W222" s="56">
        <f>'Założenia-dane wejściowe '!Y76-'Założenia-dane wejściowe '!Y36</f>
        <v>242913</v>
      </c>
      <c r="X222" s="56">
        <f>'Założenia-dane wejściowe '!Z76-'Założenia-dane wejściowe '!Z36</f>
        <v>242913</v>
      </c>
      <c r="Y222" s="56">
        <f>'Założenia-dane wejściowe '!AA76-'Założenia-dane wejściowe '!AA36</f>
        <v>242913</v>
      </c>
      <c r="Z222" s="56">
        <f>'Założenia-dane wejściowe '!AB76-'Założenia-dane wejściowe '!AB36</f>
        <v>242913</v>
      </c>
      <c r="AA222" s="56">
        <f>'Założenia-dane wejściowe '!AC76-'Założenia-dane wejściowe '!AC36</f>
        <v>242913</v>
      </c>
      <c r="AB222" s="56">
        <f>'Założenia-dane wejściowe '!AD76-'Założenia-dane wejściowe '!AD36</f>
        <v>242913</v>
      </c>
      <c r="AC222" s="56">
        <f>'Założenia-dane wejściowe '!AE76-'Założenia-dane wejściowe '!AE36</f>
        <v>242913</v>
      </c>
      <c r="AD222" s="56">
        <f>'Założenia-dane wejściowe '!AF76-'Założenia-dane wejściowe '!AF36</f>
        <v>242913</v>
      </c>
      <c r="AE222" s="56">
        <f>'Założenia-dane wejściowe '!AG76-'Założenia-dane wejściowe '!AG36</f>
        <v>242913</v>
      </c>
      <c r="AF222" s="56">
        <f>'Założenia-dane wejściowe '!AH76-'Założenia-dane wejściowe '!AH36</f>
        <v>242913</v>
      </c>
      <c r="AG222" s="56">
        <f>'Założenia-dane wejściowe '!AI76-'Założenia-dane wejściowe '!AI36</f>
        <v>242913</v>
      </c>
    </row>
    <row r="223" spans="1:33" s="191" customFormat="1" ht="13.5" x14ac:dyDescent="0.25">
      <c r="A223" s="189" t="s">
        <v>345</v>
      </c>
      <c r="B223" s="56">
        <f>'Założenia-dane wejściowe '!D77-'Założenia-dane wejściowe '!D37</f>
        <v>0</v>
      </c>
      <c r="C223" s="56">
        <f>'Założenia-dane wejściowe '!E77-'Założenia-dane wejściowe '!E37</f>
        <v>0</v>
      </c>
      <c r="D223" s="56">
        <f>'Założenia-dane wejściowe '!F77-'Założenia-dane wejściowe '!F37</f>
        <v>0</v>
      </c>
      <c r="E223" s="56">
        <f>'Założenia-dane wejściowe '!G77-'Założenia-dane wejściowe '!G37</f>
        <v>0</v>
      </c>
      <c r="F223" s="56">
        <f>'Założenia-dane wejściowe '!H77-'Założenia-dane wejściowe '!H37</f>
        <v>0</v>
      </c>
      <c r="G223" s="56">
        <f>'Założenia-dane wejściowe '!I77-'Założenia-dane wejściowe '!I37</f>
        <v>0</v>
      </c>
      <c r="H223" s="56">
        <f>'Założenia-dane wejściowe '!J77-'Założenia-dane wejściowe '!J37</f>
        <v>0</v>
      </c>
      <c r="I223" s="56">
        <f>'Założenia-dane wejściowe '!K77-'Założenia-dane wejściowe '!K37</f>
        <v>0</v>
      </c>
      <c r="J223" s="56">
        <f>'Założenia-dane wejściowe '!L77-'Założenia-dane wejściowe '!L37</f>
        <v>36437</v>
      </c>
      <c r="K223" s="56">
        <f>'Założenia-dane wejściowe '!M77-'Założenia-dane wejściowe '!M37</f>
        <v>36437</v>
      </c>
      <c r="L223" s="56">
        <f>'Założenia-dane wejściowe '!N77-'Założenia-dane wejściowe '!N37</f>
        <v>36437</v>
      </c>
      <c r="M223" s="56">
        <f>'Założenia-dane wejściowe '!O77-'Założenia-dane wejściowe '!O37</f>
        <v>36437</v>
      </c>
      <c r="N223" s="56">
        <f>'Założenia-dane wejściowe '!P77-'Założenia-dane wejściowe '!P37</f>
        <v>36437</v>
      </c>
      <c r="O223" s="56">
        <f>'Założenia-dane wejściowe '!Q77-'Założenia-dane wejściowe '!Q37</f>
        <v>36437</v>
      </c>
      <c r="P223" s="56">
        <f>'Założenia-dane wejściowe '!R77-'Założenia-dane wejściowe '!R37</f>
        <v>36437</v>
      </c>
      <c r="Q223" s="56">
        <f>'Założenia-dane wejściowe '!S77-'Założenia-dane wejściowe '!S37</f>
        <v>36437</v>
      </c>
      <c r="R223" s="56">
        <f>'Założenia-dane wejściowe '!T77-'Założenia-dane wejściowe '!T37</f>
        <v>36437</v>
      </c>
      <c r="S223" s="56">
        <f>'Założenia-dane wejściowe '!U77-'Założenia-dane wejściowe '!U37</f>
        <v>36437</v>
      </c>
      <c r="T223" s="56">
        <f>'Założenia-dane wejściowe '!V77-'Założenia-dane wejściowe '!V37</f>
        <v>36437</v>
      </c>
      <c r="U223" s="56">
        <f>'Założenia-dane wejściowe '!W77-'Założenia-dane wejściowe '!W37</f>
        <v>36437</v>
      </c>
      <c r="V223" s="56">
        <f>'Założenia-dane wejściowe '!X77-'Założenia-dane wejściowe '!X37</f>
        <v>36437</v>
      </c>
      <c r="W223" s="56">
        <f>'Założenia-dane wejściowe '!Y77-'Założenia-dane wejściowe '!Y37</f>
        <v>36437</v>
      </c>
      <c r="X223" s="56">
        <f>'Założenia-dane wejściowe '!Z77-'Założenia-dane wejściowe '!Z37</f>
        <v>36437</v>
      </c>
      <c r="Y223" s="56">
        <f>'Założenia-dane wejściowe '!AA77-'Założenia-dane wejściowe '!AA37</f>
        <v>36437</v>
      </c>
      <c r="Z223" s="56">
        <f>'Założenia-dane wejściowe '!AB77-'Założenia-dane wejściowe '!AB37</f>
        <v>36437</v>
      </c>
      <c r="AA223" s="56">
        <f>'Założenia-dane wejściowe '!AC77-'Założenia-dane wejściowe '!AC37</f>
        <v>36437</v>
      </c>
      <c r="AB223" s="56">
        <f>'Założenia-dane wejściowe '!AD77-'Założenia-dane wejściowe '!AD37</f>
        <v>36437</v>
      </c>
      <c r="AC223" s="56">
        <f>'Założenia-dane wejściowe '!AE77-'Założenia-dane wejściowe '!AE37</f>
        <v>36437</v>
      </c>
      <c r="AD223" s="56">
        <f>'Założenia-dane wejściowe '!AF77-'Założenia-dane wejściowe '!AF37</f>
        <v>36437</v>
      </c>
      <c r="AE223" s="56">
        <f>'Założenia-dane wejściowe '!AG77-'Założenia-dane wejściowe '!AG37</f>
        <v>36437</v>
      </c>
      <c r="AF223" s="56">
        <f>'Założenia-dane wejściowe '!AH77-'Założenia-dane wejściowe '!AH37</f>
        <v>36437</v>
      </c>
      <c r="AG223" s="56">
        <f>'Założenia-dane wejściowe '!AI77-'Założenia-dane wejściowe '!AI37</f>
        <v>36437</v>
      </c>
    </row>
    <row r="224" spans="1:33" s="188" customFormat="1" ht="13.5" x14ac:dyDescent="0.25">
      <c r="A224" s="189" t="s">
        <v>339</v>
      </c>
      <c r="B224" s="56">
        <f>'Założenia-dane wejściowe '!D78-'Założenia-dane wejściowe '!D38</f>
        <v>0</v>
      </c>
      <c r="C224" s="56">
        <f>'Założenia-dane wejściowe '!E78-'Założenia-dane wejściowe '!E38</f>
        <v>0</v>
      </c>
      <c r="D224" s="56">
        <f>'Założenia-dane wejściowe '!F78-'Założenia-dane wejściowe '!F38</f>
        <v>0</v>
      </c>
      <c r="E224" s="56">
        <f>'Założenia-dane wejściowe '!G78-'Założenia-dane wejściowe '!G38</f>
        <v>0</v>
      </c>
      <c r="F224" s="56">
        <f>'Założenia-dane wejściowe '!H78-'Założenia-dane wejściowe '!H38</f>
        <v>0</v>
      </c>
      <c r="G224" s="56">
        <f>'Założenia-dane wejściowe '!I78-'Założenia-dane wejściowe '!I38</f>
        <v>0</v>
      </c>
      <c r="H224" s="56">
        <f>'Założenia-dane wejściowe '!J78-'Założenia-dane wejściowe '!J38</f>
        <v>0</v>
      </c>
      <c r="I224" s="56">
        <f>'Założenia-dane wejściowe '!K78-'Założenia-dane wejściowe '!K38</f>
        <v>0</v>
      </c>
      <c r="J224" s="56">
        <f>'Założenia-dane wejściowe '!L78-'Założenia-dane wejściowe '!L38</f>
        <v>910925</v>
      </c>
      <c r="K224" s="56">
        <f>'Założenia-dane wejściowe '!M78-'Założenia-dane wejściowe '!M38</f>
        <v>910925</v>
      </c>
      <c r="L224" s="56">
        <f>'Założenia-dane wejściowe '!N78-'Założenia-dane wejściowe '!N38</f>
        <v>910925</v>
      </c>
      <c r="M224" s="56">
        <f>'Założenia-dane wejściowe '!O78-'Założenia-dane wejściowe '!O38</f>
        <v>910925</v>
      </c>
      <c r="N224" s="56">
        <f>'Założenia-dane wejściowe '!P78-'Założenia-dane wejściowe '!P38</f>
        <v>910925</v>
      </c>
      <c r="O224" s="56">
        <f>'Założenia-dane wejściowe '!Q78-'Założenia-dane wejściowe '!Q38</f>
        <v>910925</v>
      </c>
      <c r="P224" s="56">
        <f>'Założenia-dane wejściowe '!R78-'Założenia-dane wejściowe '!R38</f>
        <v>910925</v>
      </c>
      <c r="Q224" s="56">
        <f>'Założenia-dane wejściowe '!S78-'Założenia-dane wejściowe '!S38</f>
        <v>910925</v>
      </c>
      <c r="R224" s="56">
        <f>'Założenia-dane wejściowe '!T78-'Założenia-dane wejściowe '!T38</f>
        <v>910925</v>
      </c>
      <c r="S224" s="56">
        <f>'Założenia-dane wejściowe '!U78-'Założenia-dane wejściowe '!U38</f>
        <v>910925</v>
      </c>
      <c r="T224" s="56">
        <f>'Założenia-dane wejściowe '!V78-'Założenia-dane wejściowe '!V38</f>
        <v>910925</v>
      </c>
      <c r="U224" s="56">
        <f>'Założenia-dane wejściowe '!W78-'Założenia-dane wejściowe '!W38</f>
        <v>910925</v>
      </c>
      <c r="V224" s="56">
        <f>'Założenia-dane wejściowe '!X78-'Założenia-dane wejściowe '!X38</f>
        <v>910925</v>
      </c>
      <c r="W224" s="56">
        <f>'Założenia-dane wejściowe '!Y78-'Założenia-dane wejściowe '!Y38</f>
        <v>910925</v>
      </c>
      <c r="X224" s="56">
        <f>'Założenia-dane wejściowe '!Z78-'Założenia-dane wejściowe '!Z38</f>
        <v>910925</v>
      </c>
      <c r="Y224" s="56">
        <f>'Założenia-dane wejściowe '!AA78-'Założenia-dane wejściowe '!AA38</f>
        <v>910925</v>
      </c>
      <c r="Z224" s="56">
        <f>'Założenia-dane wejściowe '!AB78-'Założenia-dane wejściowe '!AB38</f>
        <v>910925</v>
      </c>
      <c r="AA224" s="56">
        <f>'Założenia-dane wejściowe '!AC78-'Założenia-dane wejściowe '!AC38</f>
        <v>910925</v>
      </c>
      <c r="AB224" s="56">
        <f>'Założenia-dane wejściowe '!AD78-'Założenia-dane wejściowe '!AD38</f>
        <v>910925</v>
      </c>
      <c r="AC224" s="56">
        <f>'Założenia-dane wejściowe '!AE78-'Założenia-dane wejściowe '!AE38</f>
        <v>910925</v>
      </c>
      <c r="AD224" s="56">
        <f>'Założenia-dane wejściowe '!AF78-'Założenia-dane wejściowe '!AF38</f>
        <v>910925</v>
      </c>
      <c r="AE224" s="56">
        <f>'Założenia-dane wejściowe '!AG78-'Założenia-dane wejściowe '!AG38</f>
        <v>910925</v>
      </c>
      <c r="AF224" s="56">
        <f>'Założenia-dane wejściowe '!AH78-'Założenia-dane wejściowe '!AH38</f>
        <v>910925</v>
      </c>
      <c r="AG224" s="56">
        <f>'Założenia-dane wejściowe '!AI78-'Założenia-dane wejściowe '!AI38</f>
        <v>910925</v>
      </c>
    </row>
    <row r="225" spans="1:34" s="140" customFormat="1" ht="13.5" x14ac:dyDescent="0.2">
      <c r="A225" s="176" t="s">
        <v>83</v>
      </c>
      <c r="B225" s="192">
        <f t="shared" ref="B225:AA225" si="103">SUM(B217:B224)</f>
        <v>0</v>
      </c>
      <c r="C225" s="192">
        <f t="shared" si="103"/>
        <v>0</v>
      </c>
      <c r="D225" s="192">
        <f t="shared" si="103"/>
        <v>0</v>
      </c>
      <c r="E225" s="192">
        <f t="shared" si="103"/>
        <v>294000</v>
      </c>
      <c r="F225" s="192">
        <f t="shared" si="103"/>
        <v>294000</v>
      </c>
      <c r="G225" s="193">
        <f t="shared" si="103"/>
        <v>294000</v>
      </c>
      <c r="H225" s="192">
        <f t="shared" si="103"/>
        <v>294000</v>
      </c>
      <c r="I225" s="192">
        <f t="shared" si="103"/>
        <v>294000</v>
      </c>
      <c r="J225" s="192">
        <f t="shared" si="103"/>
        <v>11672045.175000001</v>
      </c>
      <c r="K225" s="192">
        <f t="shared" si="103"/>
        <v>11672045.175000001</v>
      </c>
      <c r="L225" s="192">
        <f t="shared" si="103"/>
        <v>11672045.175000001</v>
      </c>
      <c r="M225" s="192">
        <f t="shared" si="103"/>
        <v>11672045.175000001</v>
      </c>
      <c r="N225" s="192">
        <f t="shared" si="103"/>
        <v>11672045.175000001</v>
      </c>
      <c r="O225" s="192">
        <f t="shared" si="103"/>
        <v>11672045.175000001</v>
      </c>
      <c r="P225" s="192">
        <f t="shared" si="103"/>
        <v>11672045.175000001</v>
      </c>
      <c r="Q225" s="192">
        <f t="shared" si="103"/>
        <v>11672045.175000001</v>
      </c>
      <c r="R225" s="192">
        <f t="shared" si="103"/>
        <v>11672045.175000001</v>
      </c>
      <c r="S225" s="192">
        <f t="shared" si="103"/>
        <v>11672045.175000001</v>
      </c>
      <c r="T225" s="192">
        <f t="shared" si="103"/>
        <v>11919083.068750001</v>
      </c>
      <c r="U225" s="192">
        <f t="shared" si="103"/>
        <v>11919083.068750001</v>
      </c>
      <c r="V225" s="192">
        <f t="shared" si="103"/>
        <v>11919083.068750001</v>
      </c>
      <c r="W225" s="192">
        <f t="shared" si="103"/>
        <v>11919083.068750001</v>
      </c>
      <c r="X225" s="192">
        <f t="shared" si="103"/>
        <v>11919083.068750001</v>
      </c>
      <c r="Y225" s="192">
        <f t="shared" si="103"/>
        <v>12166120.9625</v>
      </c>
      <c r="Z225" s="192">
        <f t="shared" si="103"/>
        <v>12166120.9625</v>
      </c>
      <c r="AA225" s="192">
        <f t="shared" si="103"/>
        <v>12166120.9625</v>
      </c>
      <c r="AB225" s="192">
        <f t="shared" ref="AB225:AG225" si="104">SUM(AB217:AB224)</f>
        <v>12166120.9625</v>
      </c>
      <c r="AC225" s="192">
        <f t="shared" si="104"/>
        <v>12166120.9625</v>
      </c>
      <c r="AD225" s="192">
        <f t="shared" si="104"/>
        <v>12413158.856250001</v>
      </c>
      <c r="AE225" s="192">
        <f t="shared" si="104"/>
        <v>12413158.856250001</v>
      </c>
      <c r="AF225" s="192">
        <f t="shared" si="104"/>
        <v>12413158.856250001</v>
      </c>
      <c r="AG225" s="192">
        <f t="shared" si="104"/>
        <v>12413158.856250001</v>
      </c>
    </row>
    <row r="226" spans="1:34" s="140" customFormat="1" ht="13.5" hidden="1" x14ac:dyDescent="0.2">
      <c r="A226" s="196"/>
      <c r="B226" s="197"/>
      <c r="C226" s="197"/>
      <c r="D226" s="197"/>
      <c r="E226" s="197"/>
      <c r="F226" s="197"/>
      <c r="G226" s="197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74"/>
    </row>
    <row r="227" spans="1:34" s="140" customFormat="1" ht="13.5" hidden="1" x14ac:dyDescent="0.25">
      <c r="A227" s="20" t="s">
        <v>84</v>
      </c>
      <c r="B227" s="193">
        <f>SUM(D225:AG225)/AG214</f>
        <v>9608970.2443749979</v>
      </c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</row>
    <row r="228" spans="1:34" hidden="1" x14ac:dyDescent="0.2">
      <c r="A228" s="244"/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</row>
    <row r="229" spans="1:34" s="244" customFormat="1" hidden="1" x14ac:dyDescent="0.2">
      <c r="A229" s="241"/>
      <c r="B229" s="242"/>
      <c r="C229" s="242"/>
      <c r="D229" s="245">
        <v>1</v>
      </c>
      <c r="E229" s="245">
        <v>2</v>
      </c>
      <c r="F229" s="245">
        <v>3</v>
      </c>
      <c r="G229" s="245">
        <v>4</v>
      </c>
      <c r="H229" s="245">
        <v>5</v>
      </c>
      <c r="I229" s="245">
        <v>6</v>
      </c>
      <c r="J229" s="245">
        <v>7</v>
      </c>
      <c r="K229" s="245">
        <v>8</v>
      </c>
      <c r="L229" s="245">
        <v>9</v>
      </c>
      <c r="M229" s="245">
        <v>10</v>
      </c>
      <c r="N229" s="245">
        <v>11</v>
      </c>
      <c r="O229" s="245">
        <v>12</v>
      </c>
      <c r="P229" s="245">
        <v>13</v>
      </c>
      <c r="Q229" s="245">
        <v>14</v>
      </c>
      <c r="R229" s="245">
        <v>15</v>
      </c>
      <c r="S229" s="245">
        <v>16</v>
      </c>
      <c r="T229" s="245">
        <v>17</v>
      </c>
      <c r="U229" s="245">
        <v>18</v>
      </c>
      <c r="V229" s="245">
        <v>19</v>
      </c>
      <c r="W229" s="245">
        <v>20</v>
      </c>
      <c r="X229" s="245">
        <v>21</v>
      </c>
      <c r="Y229" s="245">
        <v>22</v>
      </c>
      <c r="Z229" s="245">
        <v>23</v>
      </c>
      <c r="AA229" s="245">
        <v>24</v>
      </c>
      <c r="AB229" s="245">
        <v>25</v>
      </c>
      <c r="AC229" s="245">
        <v>26</v>
      </c>
      <c r="AD229" s="245">
        <v>27</v>
      </c>
      <c r="AE229" s="245">
        <v>28</v>
      </c>
      <c r="AF229" s="245">
        <v>29</v>
      </c>
      <c r="AG229" s="245">
        <v>30</v>
      </c>
    </row>
    <row r="230" spans="1:34" s="244" customFormat="1" ht="15.75" x14ac:dyDescent="0.2">
      <c r="A230" s="233" t="s">
        <v>412</v>
      </c>
      <c r="B230" s="245"/>
      <c r="C230" s="245"/>
    </row>
    <row r="231" spans="1:34" s="188" customFormat="1" ht="13.5" x14ac:dyDescent="0.25">
      <c r="A231" s="184" t="s">
        <v>81</v>
      </c>
      <c r="B231" s="187">
        <v>2013</v>
      </c>
      <c r="C231" s="187">
        <f t="shared" ref="C231:AG231" si="105">B231+1</f>
        <v>2014</v>
      </c>
      <c r="D231" s="187">
        <f t="shared" si="105"/>
        <v>2015</v>
      </c>
      <c r="E231" s="187">
        <f t="shared" si="105"/>
        <v>2016</v>
      </c>
      <c r="F231" s="187">
        <f t="shared" si="105"/>
        <v>2017</v>
      </c>
      <c r="G231" s="187">
        <f t="shared" si="105"/>
        <v>2018</v>
      </c>
      <c r="H231" s="187">
        <f t="shared" si="105"/>
        <v>2019</v>
      </c>
      <c r="I231" s="187">
        <f t="shared" si="105"/>
        <v>2020</v>
      </c>
      <c r="J231" s="187">
        <f t="shared" si="105"/>
        <v>2021</v>
      </c>
      <c r="K231" s="187">
        <f t="shared" si="105"/>
        <v>2022</v>
      </c>
      <c r="L231" s="187">
        <f t="shared" si="105"/>
        <v>2023</v>
      </c>
      <c r="M231" s="187">
        <f t="shared" si="105"/>
        <v>2024</v>
      </c>
      <c r="N231" s="187">
        <f t="shared" si="105"/>
        <v>2025</v>
      </c>
      <c r="O231" s="187">
        <f t="shared" si="105"/>
        <v>2026</v>
      </c>
      <c r="P231" s="187">
        <f t="shared" si="105"/>
        <v>2027</v>
      </c>
      <c r="Q231" s="187">
        <f t="shared" si="105"/>
        <v>2028</v>
      </c>
      <c r="R231" s="187">
        <f t="shared" si="105"/>
        <v>2029</v>
      </c>
      <c r="S231" s="187">
        <f t="shared" si="105"/>
        <v>2030</v>
      </c>
      <c r="T231" s="187">
        <f t="shared" si="105"/>
        <v>2031</v>
      </c>
      <c r="U231" s="187">
        <f t="shared" si="105"/>
        <v>2032</v>
      </c>
      <c r="V231" s="187">
        <f t="shared" si="105"/>
        <v>2033</v>
      </c>
      <c r="W231" s="187">
        <f t="shared" si="105"/>
        <v>2034</v>
      </c>
      <c r="X231" s="187">
        <f t="shared" si="105"/>
        <v>2035</v>
      </c>
      <c r="Y231" s="187">
        <f t="shared" si="105"/>
        <v>2036</v>
      </c>
      <c r="Z231" s="187">
        <f t="shared" si="105"/>
        <v>2037</v>
      </c>
      <c r="AA231" s="187">
        <f t="shared" si="105"/>
        <v>2038</v>
      </c>
      <c r="AB231" s="187">
        <f t="shared" si="105"/>
        <v>2039</v>
      </c>
      <c r="AC231" s="187">
        <f t="shared" si="105"/>
        <v>2040</v>
      </c>
      <c r="AD231" s="187">
        <f t="shared" si="105"/>
        <v>2041</v>
      </c>
      <c r="AE231" s="187">
        <f t="shared" si="105"/>
        <v>2042</v>
      </c>
      <c r="AF231" s="187">
        <f t="shared" si="105"/>
        <v>2043</v>
      </c>
      <c r="AG231" s="187">
        <f t="shared" si="105"/>
        <v>2044</v>
      </c>
    </row>
    <row r="232" spans="1:34" s="188" customFormat="1" ht="13.5" x14ac:dyDescent="0.25">
      <c r="A232" s="189" t="s">
        <v>82</v>
      </c>
      <c r="B232" s="56">
        <f>B24+B32</f>
        <v>0</v>
      </c>
      <c r="C232" s="56">
        <f t="shared" ref="C232:AG232" si="106">C24+C32</f>
        <v>0</v>
      </c>
      <c r="D232" s="56">
        <f t="shared" si="106"/>
        <v>0</v>
      </c>
      <c r="E232" s="56">
        <f t="shared" si="106"/>
        <v>0</v>
      </c>
      <c r="F232" s="56">
        <f t="shared" si="106"/>
        <v>0</v>
      </c>
      <c r="G232" s="56">
        <f t="shared" si="106"/>
        <v>0</v>
      </c>
      <c r="H232" s="56">
        <f t="shared" si="106"/>
        <v>2910000</v>
      </c>
      <c r="I232" s="56">
        <f t="shared" si="106"/>
        <v>2910000</v>
      </c>
      <c r="J232" s="56">
        <f t="shared" si="106"/>
        <v>7411052.4500000002</v>
      </c>
      <c r="K232" s="56">
        <f t="shared" si="106"/>
        <v>7411052.4500000002</v>
      </c>
      <c r="L232" s="56">
        <f t="shared" si="106"/>
        <v>7411052.4500000002</v>
      </c>
      <c r="M232" s="56">
        <f t="shared" si="106"/>
        <v>7411052.4500000002</v>
      </c>
      <c r="N232" s="56">
        <f t="shared" si="106"/>
        <v>7411052.4500000002</v>
      </c>
      <c r="O232" s="56">
        <f t="shared" si="106"/>
        <v>7411052.4500000002</v>
      </c>
      <c r="P232" s="56">
        <f t="shared" si="106"/>
        <v>7411052.4500000002</v>
      </c>
      <c r="Q232" s="56">
        <f t="shared" si="106"/>
        <v>7411052.4500000002</v>
      </c>
      <c r="R232" s="56">
        <f t="shared" si="106"/>
        <v>7411052.4500000002</v>
      </c>
      <c r="S232" s="56">
        <f t="shared" si="106"/>
        <v>7411052.4500000002</v>
      </c>
      <c r="T232" s="56">
        <f t="shared" si="106"/>
        <v>7685376.3224999998</v>
      </c>
      <c r="U232" s="56">
        <f t="shared" si="106"/>
        <v>7685376.3224999998</v>
      </c>
      <c r="V232" s="56">
        <f t="shared" si="106"/>
        <v>7685376.3224999998</v>
      </c>
      <c r="W232" s="56">
        <f t="shared" si="106"/>
        <v>7685376.3224999998</v>
      </c>
      <c r="X232" s="56">
        <f t="shared" si="106"/>
        <v>6715376.3224999998</v>
      </c>
      <c r="Y232" s="56">
        <f t="shared" si="106"/>
        <v>5049700.1950000003</v>
      </c>
      <c r="Z232" s="56">
        <f t="shared" si="106"/>
        <v>7569700.1950000003</v>
      </c>
      <c r="AA232" s="56">
        <f t="shared" si="106"/>
        <v>7569700.1950000003</v>
      </c>
      <c r="AB232" s="56">
        <f t="shared" si="106"/>
        <v>7569700.1950000003</v>
      </c>
      <c r="AC232" s="56">
        <f t="shared" si="106"/>
        <v>7569700.1950000003</v>
      </c>
      <c r="AD232" s="56">
        <f t="shared" si="106"/>
        <v>7844024.0674999999</v>
      </c>
      <c r="AE232" s="56">
        <f t="shared" si="106"/>
        <v>7844024.0674999999</v>
      </c>
      <c r="AF232" s="56">
        <f t="shared" si="106"/>
        <v>7844024.0674999999</v>
      </c>
      <c r="AG232" s="56">
        <f t="shared" si="106"/>
        <v>7844024.0674999999</v>
      </c>
    </row>
    <row r="233" spans="1:34" s="188" customFormat="1" ht="13.5" x14ac:dyDescent="0.25">
      <c r="A233" s="190" t="s">
        <v>340</v>
      </c>
      <c r="B233" s="56">
        <f>'Założenia-dane wejściowe '!D101-'Założenia-dane wejściowe '!D52</f>
        <v>0</v>
      </c>
      <c r="C233" s="56">
        <f>'Założenia-dane wejściowe '!E101-'Założenia-dane wejściowe '!E52</f>
        <v>0</v>
      </c>
      <c r="D233" s="56">
        <f>'Założenia-dane wejściowe '!F101-'Założenia-dane wejściowe '!F52</f>
        <v>0</v>
      </c>
      <c r="E233" s="56">
        <f>'Założenia-dane wejściowe '!G101-'Założenia-dane wejściowe '!G52</f>
        <v>1848000</v>
      </c>
      <c r="F233" s="56">
        <f>'Założenia-dane wejściowe '!H101-'Założenia-dane wejściowe '!H52</f>
        <v>1848000</v>
      </c>
      <c r="G233" s="56">
        <f>'Założenia-dane wejściowe '!I101-'Założenia-dane wejściowe '!I52</f>
        <v>1848000</v>
      </c>
      <c r="H233" s="56">
        <f>'Założenia-dane wejściowe '!J101-'Założenia-dane wejściowe '!J52</f>
        <v>1848000</v>
      </c>
      <c r="I233" s="56">
        <f>'Założenia-dane wejściowe '!K101-'Założenia-dane wejściowe '!K52</f>
        <v>1848000</v>
      </c>
      <c r="J233" s="56">
        <f>'Założenia-dane wejściowe '!L101-'Założenia-dane wejściowe '!L52</f>
        <v>1848000</v>
      </c>
      <c r="K233" s="56">
        <f>'Założenia-dane wejściowe '!M101-'Założenia-dane wejściowe '!M52</f>
        <v>1848000</v>
      </c>
      <c r="L233" s="56">
        <f>'Założenia-dane wejściowe '!N101-'Założenia-dane wejściowe '!N52</f>
        <v>1848000</v>
      </c>
      <c r="M233" s="56">
        <f>'Założenia-dane wejściowe '!O101-'Założenia-dane wejściowe '!O52</f>
        <v>1848000</v>
      </c>
      <c r="N233" s="56">
        <f>'Założenia-dane wejściowe '!P101-'Założenia-dane wejściowe '!P52</f>
        <v>1848000</v>
      </c>
      <c r="O233" s="56">
        <f>'Założenia-dane wejściowe '!Q101-'Założenia-dane wejściowe '!Q52</f>
        <v>1848000</v>
      </c>
      <c r="P233" s="56">
        <f>'Założenia-dane wejściowe '!R101-'Założenia-dane wejściowe '!R52</f>
        <v>1848000</v>
      </c>
      <c r="Q233" s="56">
        <f>'Założenia-dane wejściowe '!S101-'Założenia-dane wejściowe '!S52</f>
        <v>1848000</v>
      </c>
      <c r="R233" s="56">
        <f>'Założenia-dane wejściowe '!T101-'Założenia-dane wejściowe '!T52</f>
        <v>1848000</v>
      </c>
      <c r="S233" s="56">
        <f>'Założenia-dane wejściowe '!U101-'Założenia-dane wejściowe '!U52</f>
        <v>1848000</v>
      </c>
      <c r="T233" s="56">
        <f>'Założenia-dane wejściowe '!V101-'Założenia-dane wejściowe '!V52</f>
        <v>1848000</v>
      </c>
      <c r="U233" s="56">
        <f>'Założenia-dane wejściowe '!W101-'Założenia-dane wejściowe '!W52</f>
        <v>1848000</v>
      </c>
      <c r="V233" s="56">
        <f>'Założenia-dane wejściowe '!X101-'Założenia-dane wejściowe '!X52</f>
        <v>1848000</v>
      </c>
      <c r="W233" s="56">
        <f>'Założenia-dane wejściowe '!Y101-'Założenia-dane wejściowe '!Y52</f>
        <v>1848000</v>
      </c>
      <c r="X233" s="56">
        <f>'Założenia-dane wejściowe '!Z101-'Założenia-dane wejściowe '!Z52</f>
        <v>1848000</v>
      </c>
      <c r="Y233" s="56">
        <f>'Założenia-dane wejściowe '!AA101-'Założenia-dane wejściowe '!AA52</f>
        <v>1848000</v>
      </c>
      <c r="Z233" s="56">
        <f>'Założenia-dane wejściowe '!AB101-'Założenia-dane wejściowe '!AB52</f>
        <v>1848000</v>
      </c>
      <c r="AA233" s="56">
        <f>'Założenia-dane wejściowe '!AC101-'Założenia-dane wejściowe '!AC52</f>
        <v>1848000</v>
      </c>
      <c r="AB233" s="56">
        <f>'Założenia-dane wejściowe '!AD101-'Założenia-dane wejściowe '!AD52</f>
        <v>1848000</v>
      </c>
      <c r="AC233" s="56">
        <f>'Założenia-dane wejściowe '!AE101-'Założenia-dane wejściowe '!AE52</f>
        <v>1848000</v>
      </c>
      <c r="AD233" s="56">
        <f>'Założenia-dane wejściowe '!AF101-'Założenia-dane wejściowe '!AF52</f>
        <v>1848000</v>
      </c>
      <c r="AE233" s="56">
        <f>'Założenia-dane wejściowe '!AG101-'Założenia-dane wejściowe '!AG52</f>
        <v>1848000</v>
      </c>
      <c r="AF233" s="56">
        <f>'Założenia-dane wejściowe '!AH101-'Założenia-dane wejściowe '!AH52</f>
        <v>1848000</v>
      </c>
      <c r="AG233" s="56">
        <f>'Założenia-dane wejściowe '!AI101-'Założenia-dane wejściowe '!AI52</f>
        <v>1848000</v>
      </c>
    </row>
    <row r="234" spans="1:34" s="188" customFormat="1" ht="13.5" x14ac:dyDescent="0.25">
      <c r="A234" s="189" t="s">
        <v>341</v>
      </c>
      <c r="B234" s="56">
        <f>'Założenia-dane wejściowe '!D102-'Założenia-dane wejściowe '!D53</f>
        <v>0</v>
      </c>
      <c r="C234" s="56">
        <f>'Założenia-dane wejściowe '!E102-'Założenia-dane wejściowe '!E53</f>
        <v>0</v>
      </c>
      <c r="D234" s="56">
        <f>'Założenia-dane wejściowe '!F102-'Założenia-dane wejściowe '!F53</f>
        <v>0</v>
      </c>
      <c r="E234" s="56">
        <f>'Założenia-dane wejściowe '!G102-'Założenia-dane wejściowe '!G53</f>
        <v>0</v>
      </c>
      <c r="F234" s="56">
        <f>'Założenia-dane wejściowe '!H102-'Założenia-dane wejściowe '!H53</f>
        <v>0</v>
      </c>
      <c r="G234" s="56">
        <f>'Założenia-dane wejściowe '!I102-'Założenia-dane wejściowe '!I53</f>
        <v>0</v>
      </c>
      <c r="H234" s="56">
        <f>'Założenia-dane wejściowe '!J102-'Założenia-dane wejściowe '!J53</f>
        <v>0</v>
      </c>
      <c r="I234" s="56">
        <f>'Założenia-dane wejściowe '!K102-'Założenia-dane wejściowe '!K53</f>
        <v>0</v>
      </c>
      <c r="J234" s="56">
        <f>'Założenia-dane wejściowe '!L102-'Założenia-dane wejściowe '!L53</f>
        <v>397039</v>
      </c>
      <c r="K234" s="56">
        <f>'Założenia-dane wejściowe '!M102-'Założenia-dane wejściowe '!M53</f>
        <v>397039</v>
      </c>
      <c r="L234" s="56">
        <f>'Założenia-dane wejściowe '!N102-'Założenia-dane wejściowe '!N53</f>
        <v>397039</v>
      </c>
      <c r="M234" s="56">
        <f>'Założenia-dane wejściowe '!O102-'Założenia-dane wejściowe '!O53</f>
        <v>397039</v>
      </c>
      <c r="N234" s="56">
        <f>'Założenia-dane wejściowe '!P102-'Założenia-dane wejściowe '!P53</f>
        <v>397039</v>
      </c>
      <c r="O234" s="56">
        <f>'Założenia-dane wejściowe '!Q102-'Założenia-dane wejściowe '!Q53</f>
        <v>397039</v>
      </c>
      <c r="P234" s="56">
        <f>'Założenia-dane wejściowe '!R102-'Założenia-dane wejściowe '!R53</f>
        <v>397039</v>
      </c>
      <c r="Q234" s="56">
        <f>'Założenia-dane wejściowe '!S102-'Założenia-dane wejściowe '!S53</f>
        <v>397039</v>
      </c>
      <c r="R234" s="56">
        <f>'Założenia-dane wejściowe '!T102-'Założenia-dane wejściowe '!T53</f>
        <v>397039</v>
      </c>
      <c r="S234" s="56">
        <f>'Założenia-dane wejściowe '!U102-'Założenia-dane wejściowe '!U53</f>
        <v>397039</v>
      </c>
      <c r="T234" s="56">
        <f>'Założenia-dane wejściowe '!V102-'Założenia-dane wejściowe '!V53</f>
        <v>397039</v>
      </c>
      <c r="U234" s="56">
        <f>'Założenia-dane wejściowe '!W102-'Założenia-dane wejściowe '!W53</f>
        <v>397039</v>
      </c>
      <c r="V234" s="56">
        <f>'Założenia-dane wejściowe '!X102-'Założenia-dane wejściowe '!X53</f>
        <v>397039</v>
      </c>
      <c r="W234" s="56">
        <f>'Założenia-dane wejściowe '!Y102-'Założenia-dane wejściowe '!Y53</f>
        <v>397039</v>
      </c>
      <c r="X234" s="56">
        <f>'Założenia-dane wejściowe '!Z102-'Założenia-dane wejściowe '!Z53</f>
        <v>397039</v>
      </c>
      <c r="Y234" s="56">
        <f>'Założenia-dane wejściowe '!AA102-'Założenia-dane wejściowe '!AA53</f>
        <v>397039</v>
      </c>
      <c r="Z234" s="56">
        <f>'Założenia-dane wejściowe '!AB102-'Założenia-dane wejściowe '!AB53</f>
        <v>397039</v>
      </c>
      <c r="AA234" s="56">
        <f>'Założenia-dane wejściowe '!AC102-'Założenia-dane wejściowe '!AC53</f>
        <v>397039</v>
      </c>
      <c r="AB234" s="56">
        <f>'Założenia-dane wejściowe '!AD102-'Założenia-dane wejściowe '!AD53</f>
        <v>397039</v>
      </c>
      <c r="AC234" s="56">
        <f>'Założenia-dane wejściowe '!AE102-'Założenia-dane wejściowe '!AE53</f>
        <v>397039</v>
      </c>
      <c r="AD234" s="56">
        <f>'Założenia-dane wejściowe '!AF102-'Założenia-dane wejściowe '!AF53</f>
        <v>397039</v>
      </c>
      <c r="AE234" s="56">
        <f>'Założenia-dane wejściowe '!AG102-'Założenia-dane wejściowe '!AG53</f>
        <v>397039</v>
      </c>
      <c r="AF234" s="56">
        <f>'Założenia-dane wejściowe '!AH102-'Założenia-dane wejściowe '!AH53</f>
        <v>397039</v>
      </c>
      <c r="AG234" s="56">
        <f>'Założenia-dane wejściowe '!AI102-'Założenia-dane wejściowe '!AI53</f>
        <v>397039</v>
      </c>
    </row>
    <row r="235" spans="1:34" s="188" customFormat="1" ht="13.5" x14ac:dyDescent="0.25">
      <c r="A235" s="189" t="s">
        <v>342</v>
      </c>
      <c r="B235" s="56">
        <f>'Założenia-dane wejściowe '!D103-'Założenia-dane wejściowe '!D54</f>
        <v>0</v>
      </c>
      <c r="C235" s="56">
        <f>'Założenia-dane wejściowe '!E103-'Założenia-dane wejściowe '!E54</f>
        <v>0</v>
      </c>
      <c r="D235" s="56">
        <f>'Założenia-dane wejściowe '!F103-'Założenia-dane wejściowe '!F54</f>
        <v>0</v>
      </c>
      <c r="E235" s="56">
        <f>'Założenia-dane wejściowe '!G103-'Założenia-dane wejściowe '!G54</f>
        <v>0</v>
      </c>
      <c r="F235" s="56">
        <f>'Założenia-dane wejściowe '!H103-'Założenia-dane wejściowe '!H54</f>
        <v>6556</v>
      </c>
      <c r="G235" s="56">
        <f>'Założenia-dane wejściowe '!I103-'Założenia-dane wejściowe '!I54</f>
        <v>18316</v>
      </c>
      <c r="H235" s="56">
        <f>'Założenia-dane wejściowe '!J103-'Założenia-dane wejściowe '!J54</f>
        <v>18316</v>
      </c>
      <c r="I235" s="56">
        <f>'Założenia-dane wejściowe '!K103-'Założenia-dane wejściowe '!K54</f>
        <v>18316</v>
      </c>
      <c r="J235" s="56">
        <f>'Założenia-dane wejściowe '!L103-'Założenia-dane wejściowe '!L54</f>
        <v>812394</v>
      </c>
      <c r="K235" s="56">
        <f>'Założenia-dane wejściowe '!M103-'Założenia-dane wejściowe '!M54</f>
        <v>812394</v>
      </c>
      <c r="L235" s="56">
        <f>'Założenia-dane wejściowe '!N103-'Założenia-dane wejściowe '!N54</f>
        <v>812394</v>
      </c>
      <c r="M235" s="56">
        <f>'Założenia-dane wejściowe '!O103-'Założenia-dane wejściowe '!O54</f>
        <v>812394</v>
      </c>
      <c r="N235" s="56">
        <f>'Założenia-dane wejściowe '!P103-'Założenia-dane wejściowe '!P54</f>
        <v>812394</v>
      </c>
      <c r="O235" s="56">
        <f>'Założenia-dane wejściowe '!Q103-'Założenia-dane wejściowe '!Q54</f>
        <v>812394</v>
      </c>
      <c r="P235" s="56">
        <f>'Założenia-dane wejściowe '!R103-'Założenia-dane wejściowe '!R54</f>
        <v>812394</v>
      </c>
      <c r="Q235" s="56">
        <f>'Założenia-dane wejściowe '!S103-'Założenia-dane wejściowe '!S54</f>
        <v>812394</v>
      </c>
      <c r="R235" s="56">
        <f>'Założenia-dane wejściowe '!T103-'Założenia-dane wejściowe '!T54</f>
        <v>812394</v>
      </c>
      <c r="S235" s="56">
        <f>'Założenia-dane wejściowe '!U103-'Założenia-dane wejściowe '!U54</f>
        <v>812394</v>
      </c>
      <c r="T235" s="56">
        <f>'Założenia-dane wejściowe '!V103-'Założenia-dane wejściowe '!V54</f>
        <v>812394</v>
      </c>
      <c r="U235" s="56">
        <f>'Założenia-dane wejściowe '!W103-'Założenia-dane wejściowe '!W54</f>
        <v>812394</v>
      </c>
      <c r="V235" s="56">
        <f>'Założenia-dane wejściowe '!X103-'Założenia-dane wejściowe '!X54</f>
        <v>812394</v>
      </c>
      <c r="W235" s="56">
        <f>'Założenia-dane wejściowe '!Y103-'Założenia-dane wejściowe '!Y54</f>
        <v>812394</v>
      </c>
      <c r="X235" s="56">
        <f>'Założenia-dane wejściowe '!Z103-'Założenia-dane wejściowe '!Z54</f>
        <v>812394</v>
      </c>
      <c r="Y235" s="56">
        <f>'Założenia-dane wejściowe '!AA103-'Założenia-dane wejściowe '!AA54</f>
        <v>812394</v>
      </c>
      <c r="Z235" s="56">
        <f>'Założenia-dane wejściowe '!AB103-'Założenia-dane wejściowe '!AB54</f>
        <v>812394</v>
      </c>
      <c r="AA235" s="56">
        <f>'Założenia-dane wejściowe '!AC103-'Założenia-dane wejściowe '!AC54</f>
        <v>812394</v>
      </c>
      <c r="AB235" s="56">
        <f>'Założenia-dane wejściowe '!AD103-'Założenia-dane wejściowe '!AD54</f>
        <v>812394</v>
      </c>
      <c r="AC235" s="56">
        <f>'Założenia-dane wejściowe '!AE103-'Założenia-dane wejściowe '!AE54</f>
        <v>812394</v>
      </c>
      <c r="AD235" s="56">
        <f>'Założenia-dane wejściowe '!AF103-'Założenia-dane wejściowe '!AF54</f>
        <v>812394</v>
      </c>
      <c r="AE235" s="56">
        <f>'Założenia-dane wejściowe '!AG103-'Założenia-dane wejściowe '!AG54</f>
        <v>812394</v>
      </c>
      <c r="AF235" s="56">
        <f>'Założenia-dane wejściowe '!AH103-'Założenia-dane wejściowe '!AH54</f>
        <v>812394</v>
      </c>
      <c r="AG235" s="56">
        <f>'Założenia-dane wejściowe '!AI103-'Założenia-dane wejściowe '!AI54</f>
        <v>812394</v>
      </c>
    </row>
    <row r="236" spans="1:34" s="188" customFormat="1" ht="13.5" x14ac:dyDescent="0.25">
      <c r="A236" s="189" t="s">
        <v>343</v>
      </c>
      <c r="B236" s="56">
        <f>'Założenia-dane wejściowe '!D104-'Założenia-dane wejściowe '!D55</f>
        <v>0</v>
      </c>
      <c r="C236" s="56">
        <f>'Założenia-dane wejściowe '!E104-'Założenia-dane wejściowe '!E55</f>
        <v>0</v>
      </c>
      <c r="D236" s="56">
        <f>'Założenia-dane wejściowe '!F104-'Założenia-dane wejściowe '!F55</f>
        <v>0</v>
      </c>
      <c r="E236" s="56">
        <f>'Założenia-dane wejściowe '!G104-'Założenia-dane wejściowe '!G55</f>
        <v>0</v>
      </c>
      <c r="F236" s="56">
        <f>'Założenia-dane wejściowe '!H104-'Założenia-dane wejściowe '!H55</f>
        <v>0</v>
      </c>
      <c r="G236" s="56">
        <f>'Założenia-dane wejściowe '!I104-'Założenia-dane wejściowe '!I55</f>
        <v>0</v>
      </c>
      <c r="H236" s="56">
        <f>'Założenia-dane wejściowe '!J104-'Założenia-dane wejściowe '!J55</f>
        <v>0</v>
      </c>
      <c r="I236" s="56">
        <f>'Założenia-dane wejściowe '!K104-'Założenia-dane wejściowe '!K55</f>
        <v>3600842</v>
      </c>
      <c r="J236" s="56">
        <f>'Założenia-dane wejściowe '!L104-'Założenia-dane wejściowe '!L55</f>
        <v>3600842</v>
      </c>
      <c r="K236" s="56">
        <f>'Założenia-dane wejściowe '!M104-'Założenia-dane wejściowe '!M55</f>
        <v>3600842</v>
      </c>
      <c r="L236" s="56">
        <f>'Założenia-dane wejściowe '!N104-'Założenia-dane wejściowe '!N55</f>
        <v>3600842</v>
      </c>
      <c r="M236" s="56">
        <f>'Założenia-dane wejściowe '!O104-'Założenia-dane wejściowe '!O55</f>
        <v>3600842</v>
      </c>
      <c r="N236" s="56">
        <f>'Założenia-dane wejściowe '!P104-'Założenia-dane wejściowe '!P55</f>
        <v>3600842</v>
      </c>
      <c r="O236" s="56">
        <f>'Założenia-dane wejściowe '!Q104-'Założenia-dane wejściowe '!Q55</f>
        <v>3600842</v>
      </c>
      <c r="P236" s="56">
        <f>'Założenia-dane wejściowe '!R104-'Założenia-dane wejściowe '!R55</f>
        <v>3600842</v>
      </c>
      <c r="Q236" s="56">
        <f>'Założenia-dane wejściowe '!S104-'Założenia-dane wejściowe '!S55</f>
        <v>3600842</v>
      </c>
      <c r="R236" s="56">
        <f>'Założenia-dane wejściowe '!T104-'Założenia-dane wejściowe '!T55</f>
        <v>3600842</v>
      </c>
      <c r="S236" s="56">
        <f>'Założenia-dane wejściowe '!U104-'Założenia-dane wejściowe '!U55</f>
        <v>3600842</v>
      </c>
      <c r="T236" s="56">
        <f>'Założenia-dane wejściowe '!V104-'Założenia-dane wejściowe '!V55</f>
        <v>3600842</v>
      </c>
      <c r="U236" s="56">
        <f>'Założenia-dane wejściowe '!W104-'Założenia-dane wejściowe '!W55</f>
        <v>3600842</v>
      </c>
      <c r="V236" s="56">
        <f>'Założenia-dane wejściowe '!X104-'Założenia-dane wejściowe '!X55</f>
        <v>3600842</v>
      </c>
      <c r="W236" s="56">
        <f>'Założenia-dane wejściowe '!Y104-'Założenia-dane wejściowe '!Y55</f>
        <v>3600842</v>
      </c>
      <c r="X236" s="56">
        <f>'Założenia-dane wejściowe '!Z104-'Założenia-dane wejściowe '!Z55</f>
        <v>3600842</v>
      </c>
      <c r="Y236" s="56">
        <f>'Założenia-dane wejściowe '!AA104-'Założenia-dane wejściowe '!AA55</f>
        <v>3600842</v>
      </c>
      <c r="Z236" s="56">
        <f>'Założenia-dane wejściowe '!AB104-'Założenia-dane wejściowe '!AB55</f>
        <v>3600842</v>
      </c>
      <c r="AA236" s="56">
        <f>'Założenia-dane wejściowe '!AC104-'Założenia-dane wejściowe '!AC55</f>
        <v>3600842</v>
      </c>
      <c r="AB236" s="56">
        <f>'Założenia-dane wejściowe '!AD104-'Założenia-dane wejściowe '!AD55</f>
        <v>3600842</v>
      </c>
      <c r="AC236" s="56">
        <f>'Założenia-dane wejściowe '!AE104-'Założenia-dane wejściowe '!AE55</f>
        <v>3600842</v>
      </c>
      <c r="AD236" s="56">
        <f>'Założenia-dane wejściowe '!AF104-'Założenia-dane wejściowe '!AF55</f>
        <v>3600842</v>
      </c>
      <c r="AE236" s="56">
        <f>'Założenia-dane wejściowe '!AG104-'Założenia-dane wejściowe '!AG55</f>
        <v>3600842</v>
      </c>
      <c r="AF236" s="56">
        <f>'Założenia-dane wejściowe '!AH104-'Założenia-dane wejściowe '!AH55</f>
        <v>3600842</v>
      </c>
      <c r="AG236" s="56">
        <f>'Założenia-dane wejściowe '!AI104-'Założenia-dane wejściowe '!AI55</f>
        <v>3600842</v>
      </c>
    </row>
    <row r="237" spans="1:34" s="191" customFormat="1" ht="13.5" x14ac:dyDescent="0.25">
      <c r="A237" s="189" t="s">
        <v>344</v>
      </c>
      <c r="B237" s="56">
        <f>'Założenia-dane wejściowe '!D105-'Założenia-dane wejściowe '!D56</f>
        <v>0</v>
      </c>
      <c r="C237" s="56">
        <f>'Założenia-dane wejściowe '!E105-'Założenia-dane wejściowe '!E56</f>
        <v>0</v>
      </c>
      <c r="D237" s="56">
        <f>'Założenia-dane wejściowe '!F105-'Założenia-dane wejściowe '!F56</f>
        <v>0</v>
      </c>
      <c r="E237" s="56">
        <f>'Założenia-dane wejściowe '!G105-'Założenia-dane wejściowe '!G56</f>
        <v>0</v>
      </c>
      <c r="F237" s="56">
        <f>'Założenia-dane wejściowe '!H105-'Założenia-dane wejściowe '!H56</f>
        <v>0</v>
      </c>
      <c r="G237" s="56">
        <f>'Założenia-dane wejściowe '!I105-'Założenia-dane wejściowe '!I56</f>
        <v>102760</v>
      </c>
      <c r="H237" s="56">
        <f>'Założenia-dane wejściowe '!J105-'Założenia-dane wejściowe '!J56</f>
        <v>102760</v>
      </c>
      <c r="I237" s="56">
        <f>'Założenia-dane wejściowe '!K105-'Założenia-dane wejściowe '!K56</f>
        <v>102760</v>
      </c>
      <c r="J237" s="56">
        <f>'Założenia-dane wejściowe '!L105-'Założenia-dane wejściowe '!L56</f>
        <v>1690915</v>
      </c>
      <c r="K237" s="56">
        <f>'Założenia-dane wejściowe '!M105-'Założenia-dane wejściowe '!M56</f>
        <v>1690915</v>
      </c>
      <c r="L237" s="56">
        <f>'Założenia-dane wejściowe '!N105-'Założenia-dane wejściowe '!N56</f>
        <v>1690915</v>
      </c>
      <c r="M237" s="56">
        <f>'Założenia-dane wejściowe '!O105-'Założenia-dane wejściowe '!O56</f>
        <v>1690915</v>
      </c>
      <c r="N237" s="56">
        <f>'Założenia-dane wejściowe '!P105-'Założenia-dane wejściowe '!P56</f>
        <v>1690915</v>
      </c>
      <c r="O237" s="56">
        <f>'Założenia-dane wejściowe '!Q105-'Założenia-dane wejściowe '!Q56</f>
        <v>1690915</v>
      </c>
      <c r="P237" s="56">
        <f>'Założenia-dane wejściowe '!R105-'Założenia-dane wejściowe '!R56</f>
        <v>1690915</v>
      </c>
      <c r="Q237" s="56">
        <f>'Założenia-dane wejściowe '!S105-'Założenia-dane wejściowe '!S56</f>
        <v>1690915</v>
      </c>
      <c r="R237" s="56">
        <f>'Założenia-dane wejściowe '!T105-'Założenia-dane wejściowe '!T56</f>
        <v>1690915</v>
      </c>
      <c r="S237" s="56">
        <f>'Założenia-dane wejściowe '!U105-'Założenia-dane wejściowe '!U56</f>
        <v>1690915</v>
      </c>
      <c r="T237" s="56">
        <f>'Założenia-dane wejściowe '!V105-'Założenia-dane wejściowe '!V56</f>
        <v>1690915</v>
      </c>
      <c r="U237" s="56">
        <f>'Założenia-dane wejściowe '!W105-'Założenia-dane wejściowe '!W56</f>
        <v>1690915</v>
      </c>
      <c r="V237" s="56">
        <f>'Założenia-dane wejściowe '!X105-'Założenia-dane wejściowe '!X56</f>
        <v>1690915</v>
      </c>
      <c r="W237" s="56">
        <f>'Założenia-dane wejściowe '!Y105-'Założenia-dane wejściowe '!Y56</f>
        <v>1690915</v>
      </c>
      <c r="X237" s="56">
        <f>'Założenia-dane wejściowe '!Z105-'Założenia-dane wejściowe '!Z56</f>
        <v>1690915</v>
      </c>
      <c r="Y237" s="56">
        <f>'Założenia-dane wejściowe '!AA105-'Założenia-dane wejściowe '!AA56</f>
        <v>1690915</v>
      </c>
      <c r="Z237" s="56">
        <f>'Założenia-dane wejściowe '!AB105-'Założenia-dane wejściowe '!AB56</f>
        <v>1690915</v>
      </c>
      <c r="AA237" s="56">
        <f>'Założenia-dane wejściowe '!AC105-'Założenia-dane wejściowe '!AC56</f>
        <v>1690915</v>
      </c>
      <c r="AB237" s="56">
        <f>'Założenia-dane wejściowe '!AD105-'Założenia-dane wejściowe '!AD56</f>
        <v>1690915</v>
      </c>
      <c r="AC237" s="56">
        <f>'Założenia-dane wejściowe '!AE105-'Założenia-dane wejściowe '!AE56</f>
        <v>1690915</v>
      </c>
      <c r="AD237" s="56">
        <f>'Założenia-dane wejściowe '!AF105-'Założenia-dane wejściowe '!AF56</f>
        <v>1690915</v>
      </c>
      <c r="AE237" s="56">
        <f>'Założenia-dane wejściowe '!AG105-'Założenia-dane wejściowe '!AG56</f>
        <v>1690915</v>
      </c>
      <c r="AF237" s="56">
        <f>'Założenia-dane wejściowe '!AH105-'Założenia-dane wejściowe '!AH56</f>
        <v>1690915</v>
      </c>
      <c r="AG237" s="56">
        <f>'Założenia-dane wejściowe '!AI105-'Założenia-dane wejściowe '!AI56</f>
        <v>1690915</v>
      </c>
    </row>
    <row r="238" spans="1:34" s="191" customFormat="1" ht="13.5" x14ac:dyDescent="0.25">
      <c r="A238" s="189" t="s">
        <v>345</v>
      </c>
      <c r="B238" s="56">
        <f>'Założenia-dane wejściowe '!D106-'Założenia-dane wejściowe '!D57</f>
        <v>0</v>
      </c>
      <c r="C238" s="56">
        <f>'Założenia-dane wejściowe '!E106-'Założenia-dane wejściowe '!E57</f>
        <v>0</v>
      </c>
      <c r="D238" s="56">
        <f>'Założenia-dane wejściowe '!F106-'Założenia-dane wejściowe '!F57</f>
        <v>0</v>
      </c>
      <c r="E238" s="56">
        <f>'Założenia-dane wejściowe '!G106-'Założenia-dane wejściowe '!G57</f>
        <v>0</v>
      </c>
      <c r="F238" s="56">
        <f>'Założenia-dane wejściowe '!H106-'Założenia-dane wejściowe '!H57</f>
        <v>0</v>
      </c>
      <c r="G238" s="56">
        <f>'Założenia-dane wejściowe '!I106-'Założenia-dane wejściowe '!I57</f>
        <v>0</v>
      </c>
      <c r="H238" s="56">
        <f>'Założenia-dane wejściowe '!J106-'Założenia-dane wejściowe '!J57</f>
        <v>0</v>
      </c>
      <c r="I238" s="56">
        <f>'Założenia-dane wejściowe '!K106-'Założenia-dane wejściowe '!K57</f>
        <v>0</v>
      </c>
      <c r="J238" s="56">
        <f>'Założenia-dane wejściowe '!L106-'Założenia-dane wejściowe '!L57</f>
        <v>94533</v>
      </c>
      <c r="K238" s="56">
        <f>'Założenia-dane wejściowe '!M106-'Założenia-dane wejściowe '!M57</f>
        <v>94533</v>
      </c>
      <c r="L238" s="56">
        <f>'Założenia-dane wejściowe '!N106-'Założenia-dane wejściowe '!N57</f>
        <v>94533</v>
      </c>
      <c r="M238" s="56">
        <f>'Założenia-dane wejściowe '!O106-'Założenia-dane wejściowe '!O57</f>
        <v>94533</v>
      </c>
      <c r="N238" s="56">
        <f>'Założenia-dane wejściowe '!P106-'Założenia-dane wejściowe '!P57</f>
        <v>94533</v>
      </c>
      <c r="O238" s="56">
        <f>'Założenia-dane wejściowe '!Q106-'Założenia-dane wejściowe '!Q57</f>
        <v>94533</v>
      </c>
      <c r="P238" s="56">
        <f>'Założenia-dane wejściowe '!R106-'Założenia-dane wejściowe '!R57</f>
        <v>94533</v>
      </c>
      <c r="Q238" s="56">
        <f>'Założenia-dane wejściowe '!S106-'Założenia-dane wejściowe '!S57</f>
        <v>94533</v>
      </c>
      <c r="R238" s="56">
        <f>'Założenia-dane wejściowe '!T106-'Założenia-dane wejściowe '!T57</f>
        <v>94533</v>
      </c>
      <c r="S238" s="56">
        <f>'Założenia-dane wejściowe '!U106-'Założenia-dane wejściowe '!U57</f>
        <v>94533</v>
      </c>
      <c r="T238" s="56">
        <f>'Założenia-dane wejściowe '!V106-'Założenia-dane wejściowe '!V57</f>
        <v>94533</v>
      </c>
      <c r="U238" s="56">
        <f>'Założenia-dane wejściowe '!W106-'Założenia-dane wejściowe '!W57</f>
        <v>94533</v>
      </c>
      <c r="V238" s="56">
        <f>'Założenia-dane wejściowe '!X106-'Założenia-dane wejściowe '!X57</f>
        <v>94533</v>
      </c>
      <c r="W238" s="56">
        <f>'Założenia-dane wejściowe '!Y106-'Założenia-dane wejściowe '!Y57</f>
        <v>94533</v>
      </c>
      <c r="X238" s="56">
        <f>'Założenia-dane wejściowe '!Z106-'Założenia-dane wejściowe '!Z57</f>
        <v>94533</v>
      </c>
      <c r="Y238" s="56">
        <f>'Założenia-dane wejściowe '!AA106-'Założenia-dane wejściowe '!AA57</f>
        <v>94533</v>
      </c>
      <c r="Z238" s="56">
        <f>'Założenia-dane wejściowe '!AB106-'Założenia-dane wejściowe '!AB57</f>
        <v>94533</v>
      </c>
      <c r="AA238" s="56">
        <f>'Założenia-dane wejściowe '!AC106-'Założenia-dane wejściowe '!AC57</f>
        <v>94533</v>
      </c>
      <c r="AB238" s="56">
        <f>'Założenia-dane wejściowe '!AD106-'Założenia-dane wejściowe '!AD57</f>
        <v>94533</v>
      </c>
      <c r="AC238" s="56">
        <f>'Założenia-dane wejściowe '!AE106-'Założenia-dane wejściowe '!AE57</f>
        <v>94533</v>
      </c>
      <c r="AD238" s="56">
        <f>'Założenia-dane wejściowe '!AF106-'Założenia-dane wejściowe '!AF57</f>
        <v>94533</v>
      </c>
      <c r="AE238" s="56">
        <f>'Założenia-dane wejściowe '!AG106-'Założenia-dane wejściowe '!AG57</f>
        <v>94533</v>
      </c>
      <c r="AF238" s="56">
        <f>'Założenia-dane wejściowe '!AH106-'Założenia-dane wejściowe '!AH57</f>
        <v>94533</v>
      </c>
      <c r="AG238" s="56">
        <f>'Założenia-dane wejściowe '!AI106-'Założenia-dane wejściowe '!AI57</f>
        <v>94533</v>
      </c>
    </row>
    <row r="239" spans="1:34" s="188" customFormat="1" ht="13.5" x14ac:dyDescent="0.25">
      <c r="A239" s="189" t="s">
        <v>339</v>
      </c>
      <c r="B239" s="56">
        <f>'Założenia-dane wejściowe '!D107-'Założenia-dane wejściowe '!D58</f>
        <v>0</v>
      </c>
      <c r="C239" s="56">
        <f>'Założenia-dane wejściowe '!E107-'Założenia-dane wejściowe '!E58</f>
        <v>0</v>
      </c>
      <c r="D239" s="56">
        <f>'Założenia-dane wejściowe '!F107-'Założenia-dane wejściowe '!F58</f>
        <v>0</v>
      </c>
      <c r="E239" s="56">
        <f>'Założenia-dane wejściowe '!G107-'Założenia-dane wejściowe '!G58</f>
        <v>0</v>
      </c>
      <c r="F239" s="56">
        <f>'Założenia-dane wejściowe '!H107-'Założenia-dane wejściowe '!H58</f>
        <v>0</v>
      </c>
      <c r="G239" s="56">
        <f>'Założenia-dane wejściowe '!I107-'Założenia-dane wejściowe '!I58</f>
        <v>0</v>
      </c>
      <c r="H239" s="56">
        <f>'Założenia-dane wejściowe '!J107-'Założenia-dane wejściowe '!J58</f>
        <v>0</v>
      </c>
      <c r="I239" s="56">
        <f>'Założenia-dane wejściowe '!K107-'Założenia-dane wejściowe '!K58</f>
        <v>0</v>
      </c>
      <c r="J239" s="56">
        <f>'Założenia-dane wejściowe '!L107-'Założenia-dane wejściowe '!L58</f>
        <v>1153303</v>
      </c>
      <c r="K239" s="56">
        <f>'Założenia-dane wejściowe '!M107-'Założenia-dane wejściowe '!M58</f>
        <v>1153303</v>
      </c>
      <c r="L239" s="56">
        <f>'Założenia-dane wejściowe '!N107-'Założenia-dane wejściowe '!N58</f>
        <v>1153303</v>
      </c>
      <c r="M239" s="56">
        <f>'Założenia-dane wejściowe '!O107-'Założenia-dane wejściowe '!O58</f>
        <v>1153303</v>
      </c>
      <c r="N239" s="56">
        <f>'Założenia-dane wejściowe '!P107-'Założenia-dane wejściowe '!P58</f>
        <v>1153303</v>
      </c>
      <c r="O239" s="56">
        <f>'Założenia-dane wejściowe '!Q107-'Założenia-dane wejściowe '!Q58</f>
        <v>1153303</v>
      </c>
      <c r="P239" s="56">
        <f>'Założenia-dane wejściowe '!R107-'Założenia-dane wejściowe '!R58</f>
        <v>1153303</v>
      </c>
      <c r="Q239" s="56">
        <f>'Założenia-dane wejściowe '!S107-'Założenia-dane wejściowe '!S58</f>
        <v>1153303</v>
      </c>
      <c r="R239" s="56">
        <f>'Założenia-dane wejściowe '!T107-'Założenia-dane wejściowe '!T58</f>
        <v>1153303</v>
      </c>
      <c r="S239" s="56">
        <f>'Założenia-dane wejściowe '!U107-'Założenia-dane wejściowe '!U58</f>
        <v>1153303</v>
      </c>
      <c r="T239" s="56">
        <f>'Założenia-dane wejściowe '!V107-'Założenia-dane wejściowe '!V58</f>
        <v>1153303</v>
      </c>
      <c r="U239" s="56">
        <f>'Założenia-dane wejściowe '!W107-'Założenia-dane wejściowe '!W58</f>
        <v>1153303</v>
      </c>
      <c r="V239" s="56">
        <f>'Założenia-dane wejściowe '!X107-'Założenia-dane wejściowe '!X58</f>
        <v>1153303</v>
      </c>
      <c r="W239" s="56">
        <f>'Założenia-dane wejściowe '!Y107-'Założenia-dane wejściowe '!Y58</f>
        <v>1153303</v>
      </c>
      <c r="X239" s="56">
        <f>'Założenia-dane wejściowe '!Z107-'Założenia-dane wejściowe '!Z58</f>
        <v>1153303</v>
      </c>
      <c r="Y239" s="56">
        <f>'Założenia-dane wejściowe '!AA107-'Założenia-dane wejściowe '!AA58</f>
        <v>1153303</v>
      </c>
      <c r="Z239" s="56">
        <f>'Założenia-dane wejściowe '!AB107-'Założenia-dane wejściowe '!AB58</f>
        <v>1153303</v>
      </c>
      <c r="AA239" s="56">
        <f>'Założenia-dane wejściowe '!AC107-'Założenia-dane wejściowe '!AC58</f>
        <v>1153303</v>
      </c>
      <c r="AB239" s="56">
        <f>'Założenia-dane wejściowe '!AD107-'Założenia-dane wejściowe '!AD58</f>
        <v>1153303</v>
      </c>
      <c r="AC239" s="56">
        <f>'Założenia-dane wejściowe '!AE107-'Założenia-dane wejściowe '!AE58</f>
        <v>1153303</v>
      </c>
      <c r="AD239" s="56">
        <f>'Założenia-dane wejściowe '!AF107-'Założenia-dane wejściowe '!AF58</f>
        <v>1153303</v>
      </c>
      <c r="AE239" s="56">
        <f>'Założenia-dane wejściowe '!AG107-'Założenia-dane wejściowe '!AG58</f>
        <v>1153303</v>
      </c>
      <c r="AF239" s="56">
        <f>'Założenia-dane wejściowe '!AH107-'Założenia-dane wejściowe '!AH58</f>
        <v>1153303</v>
      </c>
      <c r="AG239" s="56">
        <f>'Założenia-dane wejściowe '!AI107-'Założenia-dane wejściowe '!AI58</f>
        <v>1153303</v>
      </c>
    </row>
    <row r="240" spans="1:34" s="195" customFormat="1" ht="13.5" x14ac:dyDescent="0.2">
      <c r="A240" s="176" t="s">
        <v>83</v>
      </c>
      <c r="B240" s="192">
        <f t="shared" ref="B240:AA240" si="107">SUM(B232:B239)</f>
        <v>0</v>
      </c>
      <c r="C240" s="192">
        <f t="shared" si="107"/>
        <v>0</v>
      </c>
      <c r="D240" s="192">
        <f t="shared" si="107"/>
        <v>0</v>
      </c>
      <c r="E240" s="192">
        <f t="shared" si="107"/>
        <v>1848000</v>
      </c>
      <c r="F240" s="192">
        <f t="shared" si="107"/>
        <v>1854556</v>
      </c>
      <c r="G240" s="193">
        <f t="shared" si="107"/>
        <v>1969076</v>
      </c>
      <c r="H240" s="192">
        <f t="shared" si="107"/>
        <v>4879076</v>
      </c>
      <c r="I240" s="192">
        <f t="shared" si="107"/>
        <v>8479918</v>
      </c>
      <c r="J240" s="192">
        <f t="shared" si="107"/>
        <v>17008078.449999999</v>
      </c>
      <c r="K240" s="192">
        <f t="shared" si="107"/>
        <v>17008078.449999999</v>
      </c>
      <c r="L240" s="192">
        <f t="shared" si="107"/>
        <v>17008078.449999999</v>
      </c>
      <c r="M240" s="192">
        <f t="shared" si="107"/>
        <v>17008078.449999999</v>
      </c>
      <c r="N240" s="192">
        <f t="shared" si="107"/>
        <v>17008078.449999999</v>
      </c>
      <c r="O240" s="192">
        <f t="shared" si="107"/>
        <v>17008078.449999999</v>
      </c>
      <c r="P240" s="192">
        <f t="shared" si="107"/>
        <v>17008078.449999999</v>
      </c>
      <c r="Q240" s="192">
        <f t="shared" si="107"/>
        <v>17008078.449999999</v>
      </c>
      <c r="R240" s="192">
        <f t="shared" si="107"/>
        <v>17008078.449999999</v>
      </c>
      <c r="S240" s="192">
        <f t="shared" si="107"/>
        <v>17008078.449999999</v>
      </c>
      <c r="T240" s="192">
        <f t="shared" si="107"/>
        <v>17282402.322499998</v>
      </c>
      <c r="U240" s="192">
        <f t="shared" si="107"/>
        <v>17282402.322499998</v>
      </c>
      <c r="V240" s="192">
        <f t="shared" si="107"/>
        <v>17282402.322499998</v>
      </c>
      <c r="W240" s="192">
        <f t="shared" si="107"/>
        <v>17282402.322499998</v>
      </c>
      <c r="X240" s="192">
        <f t="shared" si="107"/>
        <v>16312402.3225</v>
      </c>
      <c r="Y240" s="192">
        <f t="shared" si="107"/>
        <v>14646726.195</v>
      </c>
      <c r="Z240" s="192">
        <f t="shared" si="107"/>
        <v>17166726.195</v>
      </c>
      <c r="AA240" s="192">
        <f t="shared" si="107"/>
        <v>17166726.195</v>
      </c>
      <c r="AB240" s="192">
        <f t="shared" ref="AB240:AG240" si="108">SUM(AB232:AB239)</f>
        <v>17166726.195</v>
      </c>
      <c r="AC240" s="192">
        <f t="shared" si="108"/>
        <v>17166726.195</v>
      </c>
      <c r="AD240" s="192">
        <f t="shared" si="108"/>
        <v>17441050.067499999</v>
      </c>
      <c r="AE240" s="192">
        <f t="shared" si="108"/>
        <v>17441050.067499999</v>
      </c>
      <c r="AF240" s="192">
        <f t="shared" si="108"/>
        <v>17441050.067499999</v>
      </c>
      <c r="AG240" s="192">
        <f t="shared" si="108"/>
        <v>17441050.067499999</v>
      </c>
      <c r="AH240" s="194"/>
    </row>
    <row r="241" spans="1:34" s="140" customFormat="1" ht="13.5" hidden="1" x14ac:dyDescent="0.2">
      <c r="A241" s="196"/>
      <c r="B241" s="197"/>
      <c r="C241" s="197"/>
      <c r="D241" s="197"/>
      <c r="E241" s="197"/>
      <c r="F241" s="197"/>
      <c r="G241" s="197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74"/>
      <c r="AH241" s="174"/>
    </row>
    <row r="242" spans="1:34" s="140" customFormat="1" ht="13.5" hidden="1" x14ac:dyDescent="0.25">
      <c r="A242" s="20" t="s">
        <v>84</v>
      </c>
      <c r="B242" s="193">
        <f>SUM(D240:AG240)/AG229</f>
        <v>14254375.111916663</v>
      </c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</row>
    <row r="243" spans="1:34" hidden="1" x14ac:dyDescent="0.2"/>
    <row r="244" spans="1:34" ht="15.75" x14ac:dyDescent="0.2">
      <c r="A244" s="233" t="s">
        <v>413</v>
      </c>
    </row>
    <row r="245" spans="1:34" s="246" customFormat="1" x14ac:dyDescent="0.2">
      <c r="A245" s="165"/>
      <c r="B245" s="166">
        <f>B216</f>
        <v>2013</v>
      </c>
      <c r="C245" s="167">
        <f>B245+1</f>
        <v>2014</v>
      </c>
      <c r="D245" s="167">
        <f t="shared" ref="D245:AG245" si="109">C245+1</f>
        <v>2015</v>
      </c>
      <c r="E245" s="167">
        <f t="shared" si="109"/>
        <v>2016</v>
      </c>
      <c r="F245" s="167">
        <f t="shared" si="109"/>
        <v>2017</v>
      </c>
      <c r="G245" s="167">
        <f t="shared" si="109"/>
        <v>2018</v>
      </c>
      <c r="H245" s="167">
        <f t="shared" si="109"/>
        <v>2019</v>
      </c>
      <c r="I245" s="167">
        <f t="shared" si="109"/>
        <v>2020</v>
      </c>
      <c r="J245" s="167">
        <f t="shared" si="109"/>
        <v>2021</v>
      </c>
      <c r="K245" s="167">
        <f t="shared" si="109"/>
        <v>2022</v>
      </c>
      <c r="L245" s="167">
        <f t="shared" si="109"/>
        <v>2023</v>
      </c>
      <c r="M245" s="167">
        <f t="shared" si="109"/>
        <v>2024</v>
      </c>
      <c r="N245" s="167">
        <f t="shared" si="109"/>
        <v>2025</v>
      </c>
      <c r="O245" s="167">
        <f t="shared" si="109"/>
        <v>2026</v>
      </c>
      <c r="P245" s="167">
        <f t="shared" si="109"/>
        <v>2027</v>
      </c>
      <c r="Q245" s="167">
        <f t="shared" si="109"/>
        <v>2028</v>
      </c>
      <c r="R245" s="167">
        <f t="shared" si="109"/>
        <v>2029</v>
      </c>
      <c r="S245" s="167">
        <f t="shared" si="109"/>
        <v>2030</v>
      </c>
      <c r="T245" s="167">
        <f t="shared" si="109"/>
        <v>2031</v>
      </c>
      <c r="U245" s="167">
        <f t="shared" si="109"/>
        <v>2032</v>
      </c>
      <c r="V245" s="167">
        <f t="shared" si="109"/>
        <v>2033</v>
      </c>
      <c r="W245" s="167">
        <f t="shared" si="109"/>
        <v>2034</v>
      </c>
      <c r="X245" s="167">
        <f t="shared" si="109"/>
        <v>2035</v>
      </c>
      <c r="Y245" s="167">
        <f t="shared" si="109"/>
        <v>2036</v>
      </c>
      <c r="Z245" s="167">
        <f t="shared" si="109"/>
        <v>2037</v>
      </c>
      <c r="AA245" s="167">
        <f t="shared" si="109"/>
        <v>2038</v>
      </c>
      <c r="AB245" s="167">
        <f t="shared" si="109"/>
        <v>2039</v>
      </c>
      <c r="AC245" s="167">
        <f t="shared" si="109"/>
        <v>2040</v>
      </c>
      <c r="AD245" s="167">
        <f t="shared" si="109"/>
        <v>2041</v>
      </c>
      <c r="AE245" s="167">
        <f t="shared" si="109"/>
        <v>2042</v>
      </c>
      <c r="AF245" s="167">
        <f t="shared" si="109"/>
        <v>2043</v>
      </c>
      <c r="AG245" s="167">
        <f t="shared" si="109"/>
        <v>2044</v>
      </c>
    </row>
    <row r="246" spans="1:34" s="140" customFormat="1" ht="27" x14ac:dyDescent="0.2">
      <c r="A246" s="171" t="s">
        <v>85</v>
      </c>
      <c r="B246" s="172">
        <f>ROUND((B177/C60)*1.08,2)</f>
        <v>5.51</v>
      </c>
      <c r="C246" s="172">
        <f t="shared" ref="C246:AG246" si="110">ROUND((C177/D60)*1.08,2)</f>
        <v>5.53</v>
      </c>
      <c r="D246" s="172">
        <f t="shared" si="110"/>
        <v>5.59</v>
      </c>
      <c r="E246" s="172">
        <f t="shared" si="110"/>
        <v>5.59</v>
      </c>
      <c r="F246" s="172">
        <f t="shared" si="110"/>
        <v>5.59</v>
      </c>
      <c r="G246" s="172">
        <f t="shared" si="110"/>
        <v>5.59</v>
      </c>
      <c r="H246" s="172">
        <f t="shared" si="110"/>
        <v>5.59</v>
      </c>
      <c r="I246" s="172">
        <f t="shared" si="110"/>
        <v>5.59</v>
      </c>
      <c r="J246" s="172">
        <f t="shared" si="110"/>
        <v>5.59</v>
      </c>
      <c r="K246" s="172">
        <f t="shared" si="110"/>
        <v>5.59</v>
      </c>
      <c r="L246" s="172">
        <f t="shared" si="110"/>
        <v>5.59</v>
      </c>
      <c r="M246" s="172">
        <f t="shared" si="110"/>
        <v>5.59</v>
      </c>
      <c r="N246" s="172">
        <f t="shared" si="110"/>
        <v>5.59</v>
      </c>
      <c r="O246" s="172">
        <f t="shared" si="110"/>
        <v>5.59</v>
      </c>
      <c r="P246" s="172">
        <f t="shared" si="110"/>
        <v>5.59</v>
      </c>
      <c r="Q246" s="172">
        <f t="shared" si="110"/>
        <v>5.59</v>
      </c>
      <c r="R246" s="172">
        <f t="shared" si="110"/>
        <v>5.59</v>
      </c>
      <c r="S246" s="172">
        <f t="shared" si="110"/>
        <v>5.59</v>
      </c>
      <c r="T246" s="172">
        <f t="shared" si="110"/>
        <v>5.59</v>
      </c>
      <c r="U246" s="172">
        <f t="shared" si="110"/>
        <v>5.59</v>
      </c>
      <c r="V246" s="172">
        <f t="shared" si="110"/>
        <v>5.59</v>
      </c>
      <c r="W246" s="172">
        <f t="shared" si="110"/>
        <v>5.59</v>
      </c>
      <c r="X246" s="172">
        <f t="shared" si="110"/>
        <v>5.59</v>
      </c>
      <c r="Y246" s="172">
        <f t="shared" si="110"/>
        <v>5.59</v>
      </c>
      <c r="Z246" s="172">
        <f t="shared" si="110"/>
        <v>5.59</v>
      </c>
      <c r="AA246" s="172">
        <f t="shared" si="110"/>
        <v>5.59</v>
      </c>
      <c r="AB246" s="172">
        <f t="shared" si="110"/>
        <v>5.59</v>
      </c>
      <c r="AC246" s="172">
        <f t="shared" si="110"/>
        <v>5.59</v>
      </c>
      <c r="AD246" s="172">
        <f t="shared" si="110"/>
        <v>5.59</v>
      </c>
      <c r="AE246" s="172">
        <f t="shared" si="110"/>
        <v>5.59</v>
      </c>
      <c r="AF246" s="172">
        <f t="shared" si="110"/>
        <v>5.59</v>
      </c>
      <c r="AG246" s="172">
        <f t="shared" si="110"/>
        <v>5.59</v>
      </c>
    </row>
    <row r="247" spans="1:34" s="140" customFormat="1" ht="27" x14ac:dyDescent="0.2">
      <c r="A247" s="171" t="s">
        <v>86</v>
      </c>
      <c r="B247" s="156">
        <f>ROUND((B201/C100)*1.08,2)</f>
        <v>5.51</v>
      </c>
      <c r="C247" s="156">
        <f t="shared" ref="C247:AG247" si="111">ROUND((C201/D100)*1.08,2)</f>
        <v>5.53</v>
      </c>
      <c r="D247" s="156">
        <f t="shared" si="111"/>
        <v>5.59</v>
      </c>
      <c r="E247" s="156">
        <f t="shared" si="111"/>
        <v>5.61</v>
      </c>
      <c r="F247" s="156">
        <f t="shared" si="111"/>
        <v>5.61</v>
      </c>
      <c r="G247" s="156">
        <f t="shared" si="111"/>
        <v>5.61</v>
      </c>
      <c r="H247" s="156">
        <f t="shared" si="111"/>
        <v>5.61</v>
      </c>
      <c r="I247" s="156">
        <f t="shared" si="111"/>
        <v>5.61</v>
      </c>
      <c r="J247" s="156">
        <f t="shared" si="111"/>
        <v>5.98</v>
      </c>
      <c r="K247" s="156">
        <f t="shared" si="111"/>
        <v>5.98</v>
      </c>
      <c r="L247" s="156">
        <f t="shared" si="111"/>
        <v>5.98</v>
      </c>
      <c r="M247" s="156">
        <f t="shared" si="111"/>
        <v>5.98</v>
      </c>
      <c r="N247" s="156">
        <f t="shared" si="111"/>
        <v>5.98</v>
      </c>
      <c r="O247" s="156">
        <f t="shared" si="111"/>
        <v>5.98</v>
      </c>
      <c r="P247" s="156">
        <f t="shared" si="111"/>
        <v>5.98</v>
      </c>
      <c r="Q247" s="156">
        <f t="shared" si="111"/>
        <v>5.98</v>
      </c>
      <c r="R247" s="156">
        <f t="shared" si="111"/>
        <v>5.98</v>
      </c>
      <c r="S247" s="156">
        <f t="shared" si="111"/>
        <v>5.98</v>
      </c>
      <c r="T247" s="156">
        <f t="shared" si="111"/>
        <v>6</v>
      </c>
      <c r="U247" s="156">
        <f t="shared" si="111"/>
        <v>6</v>
      </c>
      <c r="V247" s="156">
        <f t="shared" si="111"/>
        <v>6</v>
      </c>
      <c r="W247" s="156">
        <f t="shared" si="111"/>
        <v>6</v>
      </c>
      <c r="X247" s="156">
        <f t="shared" si="111"/>
        <v>6</v>
      </c>
      <c r="Y247" s="156">
        <f t="shared" si="111"/>
        <v>6.02</v>
      </c>
      <c r="Z247" s="156">
        <f t="shared" si="111"/>
        <v>6.02</v>
      </c>
      <c r="AA247" s="156">
        <f t="shared" si="111"/>
        <v>6.02</v>
      </c>
      <c r="AB247" s="156">
        <f t="shared" si="111"/>
        <v>6.02</v>
      </c>
      <c r="AC247" s="156">
        <f t="shared" si="111"/>
        <v>6.02</v>
      </c>
      <c r="AD247" s="156">
        <f t="shared" si="111"/>
        <v>6.03</v>
      </c>
      <c r="AE247" s="156">
        <f t="shared" si="111"/>
        <v>6.03</v>
      </c>
      <c r="AF247" s="156">
        <f t="shared" si="111"/>
        <v>6.03</v>
      </c>
      <c r="AG247" s="156">
        <f t="shared" si="111"/>
        <v>6.03</v>
      </c>
    </row>
    <row r="248" spans="1:34" s="140" customFormat="1" ht="12" customHeight="1" x14ac:dyDescent="0.2">
      <c r="A248" s="148" t="s">
        <v>87</v>
      </c>
      <c r="B248" s="173">
        <f>B247-B246</f>
        <v>0</v>
      </c>
      <c r="C248" s="173">
        <f t="shared" ref="C248:AF248" si="112">C247-C246</f>
        <v>0</v>
      </c>
      <c r="D248" s="173">
        <f t="shared" si="112"/>
        <v>0</v>
      </c>
      <c r="E248" s="173">
        <f t="shared" si="112"/>
        <v>2.0000000000000462E-2</v>
      </c>
      <c r="F248" s="173">
        <f t="shared" si="112"/>
        <v>2.0000000000000462E-2</v>
      </c>
      <c r="G248" s="173">
        <f t="shared" si="112"/>
        <v>2.0000000000000462E-2</v>
      </c>
      <c r="H248" s="173">
        <f t="shared" si="112"/>
        <v>2.0000000000000462E-2</v>
      </c>
      <c r="I248" s="173">
        <f t="shared" si="112"/>
        <v>2.0000000000000462E-2</v>
      </c>
      <c r="J248" s="173">
        <f t="shared" si="112"/>
        <v>0.39000000000000057</v>
      </c>
      <c r="K248" s="173">
        <f t="shared" si="112"/>
        <v>0.39000000000000057</v>
      </c>
      <c r="L248" s="173">
        <f t="shared" si="112"/>
        <v>0.39000000000000057</v>
      </c>
      <c r="M248" s="173">
        <f t="shared" si="112"/>
        <v>0.39000000000000057</v>
      </c>
      <c r="N248" s="173">
        <f t="shared" si="112"/>
        <v>0.39000000000000057</v>
      </c>
      <c r="O248" s="173">
        <f t="shared" si="112"/>
        <v>0.39000000000000057</v>
      </c>
      <c r="P248" s="173">
        <f t="shared" si="112"/>
        <v>0.39000000000000057</v>
      </c>
      <c r="Q248" s="173">
        <f t="shared" si="112"/>
        <v>0.39000000000000057</v>
      </c>
      <c r="R248" s="173">
        <f t="shared" si="112"/>
        <v>0.39000000000000057</v>
      </c>
      <c r="S248" s="173">
        <f t="shared" si="112"/>
        <v>0.39000000000000057</v>
      </c>
      <c r="T248" s="173">
        <f t="shared" si="112"/>
        <v>0.41000000000000014</v>
      </c>
      <c r="U248" s="173">
        <f t="shared" si="112"/>
        <v>0.41000000000000014</v>
      </c>
      <c r="V248" s="173">
        <f t="shared" si="112"/>
        <v>0.41000000000000014</v>
      </c>
      <c r="W248" s="173">
        <f t="shared" si="112"/>
        <v>0.41000000000000014</v>
      </c>
      <c r="X248" s="173">
        <f t="shared" si="112"/>
        <v>0.41000000000000014</v>
      </c>
      <c r="Y248" s="173">
        <f t="shared" si="112"/>
        <v>0.42999999999999972</v>
      </c>
      <c r="Z248" s="173">
        <f t="shared" si="112"/>
        <v>0.42999999999999972</v>
      </c>
      <c r="AA248" s="173">
        <f t="shared" si="112"/>
        <v>0.42999999999999972</v>
      </c>
      <c r="AB248" s="173">
        <f t="shared" si="112"/>
        <v>0.42999999999999972</v>
      </c>
      <c r="AC248" s="173">
        <f t="shared" si="112"/>
        <v>0.42999999999999972</v>
      </c>
      <c r="AD248" s="173">
        <f t="shared" si="112"/>
        <v>0.44000000000000039</v>
      </c>
      <c r="AE248" s="173">
        <f t="shared" si="112"/>
        <v>0.44000000000000039</v>
      </c>
      <c r="AF248" s="173">
        <f t="shared" si="112"/>
        <v>0.44000000000000039</v>
      </c>
      <c r="AG248" s="173">
        <f>AG247-AG246</f>
        <v>0.44000000000000039</v>
      </c>
    </row>
    <row r="249" spans="1:34" ht="13.5" hidden="1" x14ac:dyDescent="0.2">
      <c r="A249" s="247"/>
      <c r="B249" s="248"/>
    </row>
    <row r="250" spans="1:34" ht="15.75" x14ac:dyDescent="0.2">
      <c r="A250" s="233" t="s">
        <v>414</v>
      </c>
    </row>
    <row r="251" spans="1:34" s="140" customFormat="1" ht="13.5" x14ac:dyDescent="0.2">
      <c r="A251" s="169"/>
      <c r="B251" s="170">
        <v>2013</v>
      </c>
      <c r="C251" s="18">
        <f t="shared" ref="C251:AG251" si="113">B251+1</f>
        <v>2014</v>
      </c>
      <c r="D251" s="18">
        <f t="shared" si="113"/>
        <v>2015</v>
      </c>
      <c r="E251" s="18">
        <f t="shared" si="113"/>
        <v>2016</v>
      </c>
      <c r="F251" s="18">
        <f t="shared" si="113"/>
        <v>2017</v>
      </c>
      <c r="G251" s="18">
        <f t="shared" si="113"/>
        <v>2018</v>
      </c>
      <c r="H251" s="18">
        <f t="shared" si="113"/>
        <v>2019</v>
      </c>
      <c r="I251" s="18">
        <f t="shared" si="113"/>
        <v>2020</v>
      </c>
      <c r="J251" s="18">
        <f t="shared" si="113"/>
        <v>2021</v>
      </c>
      <c r="K251" s="18">
        <f t="shared" si="113"/>
        <v>2022</v>
      </c>
      <c r="L251" s="18">
        <f t="shared" si="113"/>
        <v>2023</v>
      </c>
      <c r="M251" s="18">
        <f t="shared" si="113"/>
        <v>2024</v>
      </c>
      <c r="N251" s="18">
        <f t="shared" si="113"/>
        <v>2025</v>
      </c>
      <c r="O251" s="18">
        <f t="shared" si="113"/>
        <v>2026</v>
      </c>
      <c r="P251" s="18">
        <f t="shared" si="113"/>
        <v>2027</v>
      </c>
      <c r="Q251" s="18">
        <f t="shared" si="113"/>
        <v>2028</v>
      </c>
      <c r="R251" s="18">
        <f t="shared" si="113"/>
        <v>2029</v>
      </c>
      <c r="S251" s="18">
        <f t="shared" si="113"/>
        <v>2030</v>
      </c>
      <c r="T251" s="18">
        <f t="shared" si="113"/>
        <v>2031</v>
      </c>
      <c r="U251" s="18">
        <f t="shared" si="113"/>
        <v>2032</v>
      </c>
      <c r="V251" s="18">
        <f t="shared" si="113"/>
        <v>2033</v>
      </c>
      <c r="W251" s="18">
        <f t="shared" si="113"/>
        <v>2034</v>
      </c>
      <c r="X251" s="18">
        <f t="shared" si="113"/>
        <v>2035</v>
      </c>
      <c r="Y251" s="18">
        <f t="shared" si="113"/>
        <v>2036</v>
      </c>
      <c r="Z251" s="18">
        <f t="shared" si="113"/>
        <v>2037</v>
      </c>
      <c r="AA251" s="18">
        <f t="shared" si="113"/>
        <v>2038</v>
      </c>
      <c r="AB251" s="18">
        <f t="shared" si="113"/>
        <v>2039</v>
      </c>
      <c r="AC251" s="18">
        <f t="shared" si="113"/>
        <v>2040</v>
      </c>
      <c r="AD251" s="18">
        <f t="shared" si="113"/>
        <v>2041</v>
      </c>
      <c r="AE251" s="18">
        <f t="shared" si="113"/>
        <v>2042</v>
      </c>
      <c r="AF251" s="18">
        <f t="shared" si="113"/>
        <v>2043</v>
      </c>
      <c r="AG251" s="18">
        <f t="shared" si="113"/>
        <v>2044</v>
      </c>
    </row>
    <row r="252" spans="1:34" s="140" customFormat="1" ht="27" x14ac:dyDescent="0.2">
      <c r="A252" s="171" t="s">
        <v>346</v>
      </c>
      <c r="B252" s="172">
        <f>ROUND((B189/C80)*1.08,2)</f>
        <v>5.83</v>
      </c>
      <c r="C252" s="172">
        <f t="shared" ref="C252:AG252" si="114">ROUND((C189/D80)*1.08,2)</f>
        <v>5.84</v>
      </c>
      <c r="D252" s="172">
        <f t="shared" si="114"/>
        <v>5.9</v>
      </c>
      <c r="E252" s="172">
        <f t="shared" si="114"/>
        <v>5.9</v>
      </c>
      <c r="F252" s="172">
        <f t="shared" si="114"/>
        <v>5.9</v>
      </c>
      <c r="G252" s="172">
        <f t="shared" si="114"/>
        <v>5.9</v>
      </c>
      <c r="H252" s="172">
        <f t="shared" si="114"/>
        <v>5.9</v>
      </c>
      <c r="I252" s="172">
        <f t="shared" si="114"/>
        <v>5.9</v>
      </c>
      <c r="J252" s="172">
        <f t="shared" si="114"/>
        <v>5.9</v>
      </c>
      <c r="K252" s="172">
        <f t="shared" si="114"/>
        <v>5.9</v>
      </c>
      <c r="L252" s="172">
        <f t="shared" si="114"/>
        <v>5.9</v>
      </c>
      <c r="M252" s="172">
        <f t="shared" si="114"/>
        <v>5.9</v>
      </c>
      <c r="N252" s="172">
        <f t="shared" si="114"/>
        <v>5.9</v>
      </c>
      <c r="O252" s="172">
        <f t="shared" si="114"/>
        <v>5.9</v>
      </c>
      <c r="P252" s="172">
        <f t="shared" si="114"/>
        <v>5.9</v>
      </c>
      <c r="Q252" s="172">
        <f t="shared" si="114"/>
        <v>5.9</v>
      </c>
      <c r="R252" s="172">
        <f t="shared" si="114"/>
        <v>5.9</v>
      </c>
      <c r="S252" s="172">
        <f t="shared" si="114"/>
        <v>5.9</v>
      </c>
      <c r="T252" s="172">
        <f t="shared" si="114"/>
        <v>5.9</v>
      </c>
      <c r="U252" s="172">
        <f t="shared" si="114"/>
        <v>5.9</v>
      </c>
      <c r="V252" s="172">
        <f t="shared" si="114"/>
        <v>5.9</v>
      </c>
      <c r="W252" s="172">
        <f t="shared" si="114"/>
        <v>5.9</v>
      </c>
      <c r="X252" s="172">
        <f t="shared" si="114"/>
        <v>5.9</v>
      </c>
      <c r="Y252" s="172">
        <f t="shared" si="114"/>
        <v>5.9</v>
      </c>
      <c r="Z252" s="172">
        <f t="shared" si="114"/>
        <v>5.9</v>
      </c>
      <c r="AA252" s="172">
        <f t="shared" si="114"/>
        <v>5.9</v>
      </c>
      <c r="AB252" s="172">
        <f t="shared" si="114"/>
        <v>5.9</v>
      </c>
      <c r="AC252" s="172">
        <f t="shared" si="114"/>
        <v>5.9</v>
      </c>
      <c r="AD252" s="172">
        <f t="shared" si="114"/>
        <v>5.9</v>
      </c>
      <c r="AE252" s="172">
        <f t="shared" si="114"/>
        <v>5.9</v>
      </c>
      <c r="AF252" s="172">
        <f t="shared" si="114"/>
        <v>5.9</v>
      </c>
      <c r="AG252" s="172">
        <f t="shared" si="114"/>
        <v>5.9</v>
      </c>
    </row>
    <row r="253" spans="1:34" s="140" customFormat="1" ht="27" x14ac:dyDescent="0.2">
      <c r="A253" s="171" t="s">
        <v>347</v>
      </c>
      <c r="B253" s="156">
        <f>ROUND((B213/C120)*1.08,2)</f>
        <v>5.83</v>
      </c>
      <c r="C253" s="156">
        <f t="shared" ref="C253:AG253" si="115">ROUND((C213/D120)*1.08,2)</f>
        <v>5.84</v>
      </c>
      <c r="D253" s="156">
        <f t="shared" si="115"/>
        <v>5.9</v>
      </c>
      <c r="E253" s="156">
        <f t="shared" si="115"/>
        <v>6.07</v>
      </c>
      <c r="F253" s="156">
        <f t="shared" si="115"/>
        <v>6.07</v>
      </c>
      <c r="G253" s="156">
        <f t="shared" si="115"/>
        <v>6.08</v>
      </c>
      <c r="H253" s="156">
        <f t="shared" si="115"/>
        <v>6.34</v>
      </c>
      <c r="I253" s="156">
        <f t="shared" si="115"/>
        <v>6.67</v>
      </c>
      <c r="J253" s="156">
        <f t="shared" si="115"/>
        <v>6.42</v>
      </c>
      <c r="K253" s="156">
        <f t="shared" si="115"/>
        <v>6.42</v>
      </c>
      <c r="L253" s="156">
        <f t="shared" si="115"/>
        <v>6.42</v>
      </c>
      <c r="M253" s="156">
        <f t="shared" si="115"/>
        <v>6.42</v>
      </c>
      <c r="N253" s="156">
        <f t="shared" si="115"/>
        <v>6.42</v>
      </c>
      <c r="O253" s="156">
        <f t="shared" si="115"/>
        <v>6.42</v>
      </c>
      <c r="P253" s="156">
        <f t="shared" si="115"/>
        <v>6.42</v>
      </c>
      <c r="Q253" s="156">
        <f t="shared" si="115"/>
        <v>6.42</v>
      </c>
      <c r="R253" s="156">
        <f t="shared" si="115"/>
        <v>6.42</v>
      </c>
      <c r="S253" s="156">
        <f t="shared" si="115"/>
        <v>6.42</v>
      </c>
      <c r="T253" s="156">
        <f t="shared" si="115"/>
        <v>6.45</v>
      </c>
      <c r="U253" s="156">
        <f t="shared" si="115"/>
        <v>6.45</v>
      </c>
      <c r="V253" s="156">
        <f t="shared" si="115"/>
        <v>6.45</v>
      </c>
      <c r="W253" s="156">
        <f t="shared" si="115"/>
        <v>6.45</v>
      </c>
      <c r="X253" s="156">
        <f t="shared" si="115"/>
        <v>6.37</v>
      </c>
      <c r="Y253" s="156">
        <f t="shared" si="115"/>
        <v>6.24</v>
      </c>
      <c r="Z253" s="156">
        <f t="shared" si="115"/>
        <v>6.44</v>
      </c>
      <c r="AA253" s="156">
        <f t="shared" si="115"/>
        <v>6.44</v>
      </c>
      <c r="AB253" s="156">
        <f t="shared" si="115"/>
        <v>6.44</v>
      </c>
      <c r="AC253" s="156">
        <f t="shared" si="115"/>
        <v>6.44</v>
      </c>
      <c r="AD253" s="156">
        <f t="shared" si="115"/>
        <v>6.46</v>
      </c>
      <c r="AE253" s="156">
        <f t="shared" si="115"/>
        <v>6.46</v>
      </c>
      <c r="AF253" s="156">
        <f t="shared" si="115"/>
        <v>6.46</v>
      </c>
      <c r="AG253" s="156">
        <f t="shared" si="115"/>
        <v>6.46</v>
      </c>
    </row>
    <row r="254" spans="1:34" s="140" customFormat="1" ht="12" customHeight="1" x14ac:dyDescent="0.2">
      <c r="A254" s="148" t="s">
        <v>87</v>
      </c>
      <c r="B254" s="173">
        <f>B253-B252</f>
        <v>0</v>
      </c>
      <c r="C254" s="173">
        <f t="shared" ref="C254:AG254" si="116">C253-C252</f>
        <v>0</v>
      </c>
      <c r="D254" s="173">
        <f t="shared" si="116"/>
        <v>0</v>
      </c>
      <c r="E254" s="173">
        <f t="shared" si="116"/>
        <v>0.16999999999999993</v>
      </c>
      <c r="F254" s="173">
        <f>F253-F252</f>
        <v>0.16999999999999993</v>
      </c>
      <c r="G254" s="173">
        <f t="shared" si="116"/>
        <v>0.17999999999999972</v>
      </c>
      <c r="H254" s="173">
        <f t="shared" si="116"/>
        <v>0.4399999999999995</v>
      </c>
      <c r="I254" s="173">
        <f t="shared" si="116"/>
        <v>0.76999999999999957</v>
      </c>
      <c r="J254" s="173">
        <f t="shared" si="116"/>
        <v>0.51999999999999957</v>
      </c>
      <c r="K254" s="173">
        <f t="shared" si="116"/>
        <v>0.51999999999999957</v>
      </c>
      <c r="L254" s="173">
        <f t="shared" si="116"/>
        <v>0.51999999999999957</v>
      </c>
      <c r="M254" s="173">
        <f t="shared" si="116"/>
        <v>0.51999999999999957</v>
      </c>
      <c r="N254" s="173">
        <f t="shared" si="116"/>
        <v>0.51999999999999957</v>
      </c>
      <c r="O254" s="173">
        <f t="shared" si="116"/>
        <v>0.51999999999999957</v>
      </c>
      <c r="P254" s="173">
        <f t="shared" si="116"/>
        <v>0.51999999999999957</v>
      </c>
      <c r="Q254" s="173">
        <f t="shared" si="116"/>
        <v>0.51999999999999957</v>
      </c>
      <c r="R254" s="173">
        <f t="shared" si="116"/>
        <v>0.51999999999999957</v>
      </c>
      <c r="S254" s="173">
        <f t="shared" si="116"/>
        <v>0.51999999999999957</v>
      </c>
      <c r="T254" s="173">
        <f t="shared" si="116"/>
        <v>0.54999999999999982</v>
      </c>
      <c r="U254" s="173">
        <f t="shared" si="116"/>
        <v>0.54999999999999982</v>
      </c>
      <c r="V254" s="173">
        <f t="shared" si="116"/>
        <v>0.54999999999999982</v>
      </c>
      <c r="W254" s="173">
        <f t="shared" si="116"/>
        <v>0.54999999999999982</v>
      </c>
      <c r="X254" s="173">
        <f t="shared" si="116"/>
        <v>0.46999999999999975</v>
      </c>
      <c r="Y254" s="173">
        <f t="shared" si="116"/>
        <v>0.33999999999999986</v>
      </c>
      <c r="Z254" s="173">
        <f t="shared" si="116"/>
        <v>0.54</v>
      </c>
      <c r="AA254" s="173">
        <f t="shared" si="116"/>
        <v>0.54</v>
      </c>
      <c r="AB254" s="173">
        <f t="shared" si="116"/>
        <v>0.54</v>
      </c>
      <c r="AC254" s="173">
        <f t="shared" si="116"/>
        <v>0.54</v>
      </c>
      <c r="AD254" s="173">
        <f t="shared" si="116"/>
        <v>0.55999999999999961</v>
      </c>
      <c r="AE254" s="173">
        <f t="shared" si="116"/>
        <v>0.55999999999999961</v>
      </c>
      <c r="AF254" s="173">
        <f t="shared" si="116"/>
        <v>0.55999999999999961</v>
      </c>
      <c r="AG254" s="173">
        <f t="shared" si="116"/>
        <v>0.55999999999999961</v>
      </c>
    </row>
    <row r="255" spans="1:34" hidden="1" x14ac:dyDescent="0.2"/>
    <row r="256" spans="1:34" ht="15.75" x14ac:dyDescent="0.2">
      <c r="A256" s="233" t="s">
        <v>415</v>
      </c>
      <c r="AG256" s="249"/>
      <c r="AH256" s="249"/>
    </row>
    <row r="257" spans="1:33" s="140" customFormat="1" ht="13.5" x14ac:dyDescent="0.2">
      <c r="A257" s="169"/>
      <c r="B257" s="250">
        <f>B245</f>
        <v>2013</v>
      </c>
      <c r="C257" s="164">
        <f>B257+1</f>
        <v>2014</v>
      </c>
      <c r="D257" s="164">
        <f t="shared" ref="D257:AE257" si="117">C257+1</f>
        <v>2015</v>
      </c>
      <c r="E257" s="164">
        <f t="shared" si="117"/>
        <v>2016</v>
      </c>
      <c r="F257" s="164">
        <f t="shared" si="117"/>
        <v>2017</v>
      </c>
      <c r="G257" s="164">
        <f t="shared" si="117"/>
        <v>2018</v>
      </c>
      <c r="H257" s="164">
        <f t="shared" si="117"/>
        <v>2019</v>
      </c>
      <c r="I257" s="164">
        <f t="shared" si="117"/>
        <v>2020</v>
      </c>
      <c r="J257" s="164">
        <f t="shared" si="117"/>
        <v>2021</v>
      </c>
      <c r="K257" s="164">
        <f t="shared" si="117"/>
        <v>2022</v>
      </c>
      <c r="L257" s="164">
        <f t="shared" si="117"/>
        <v>2023</v>
      </c>
      <c r="M257" s="164">
        <f t="shared" si="117"/>
        <v>2024</v>
      </c>
      <c r="N257" s="164">
        <f t="shared" si="117"/>
        <v>2025</v>
      </c>
      <c r="O257" s="164">
        <f t="shared" si="117"/>
        <v>2026</v>
      </c>
      <c r="P257" s="164">
        <f t="shared" si="117"/>
        <v>2027</v>
      </c>
      <c r="Q257" s="164">
        <f t="shared" si="117"/>
        <v>2028</v>
      </c>
      <c r="R257" s="164">
        <f t="shared" si="117"/>
        <v>2029</v>
      </c>
      <c r="S257" s="164">
        <f t="shared" si="117"/>
        <v>2030</v>
      </c>
      <c r="T257" s="164">
        <f t="shared" si="117"/>
        <v>2031</v>
      </c>
      <c r="U257" s="164">
        <f t="shared" si="117"/>
        <v>2032</v>
      </c>
      <c r="V257" s="164">
        <f t="shared" si="117"/>
        <v>2033</v>
      </c>
      <c r="W257" s="164">
        <f t="shared" si="117"/>
        <v>2034</v>
      </c>
      <c r="X257" s="164">
        <f t="shared" si="117"/>
        <v>2035</v>
      </c>
      <c r="Y257" s="164">
        <f t="shared" si="117"/>
        <v>2036</v>
      </c>
      <c r="Z257" s="164">
        <f t="shared" si="117"/>
        <v>2037</v>
      </c>
      <c r="AA257" s="164">
        <f t="shared" si="117"/>
        <v>2038</v>
      </c>
      <c r="AB257" s="164">
        <f t="shared" si="117"/>
        <v>2039</v>
      </c>
      <c r="AC257" s="164">
        <f t="shared" si="117"/>
        <v>2040</v>
      </c>
      <c r="AD257" s="164">
        <f t="shared" si="117"/>
        <v>2041</v>
      </c>
      <c r="AE257" s="164">
        <f t="shared" si="117"/>
        <v>2042</v>
      </c>
      <c r="AF257" s="164">
        <f>AE257+1</f>
        <v>2043</v>
      </c>
      <c r="AG257" s="164">
        <f>AF257+1</f>
        <v>2044</v>
      </c>
    </row>
    <row r="258" spans="1:33" s="174" customFormat="1" ht="13.5" x14ac:dyDescent="0.25">
      <c r="A258" s="116" t="s">
        <v>350</v>
      </c>
      <c r="B258" s="56">
        <f>'Założenia-dane wejściowe '!K9*'Założenia-dane wejściowe '!D24</f>
        <v>7105.9128999999994</v>
      </c>
      <c r="C258" s="56">
        <f>'Założenia-dane wejściowe '!L9*'Założenia-dane wejściowe '!E24</f>
        <v>7144.9954209499992</v>
      </c>
      <c r="D258" s="56">
        <f>'Założenia-dane wejściowe '!M9*'Założenia-dane wejściowe '!F24</f>
        <v>7309.3303156318489</v>
      </c>
      <c r="E258" s="56">
        <f>'Założenia-dane wejściowe '!N9*'Założenia-dane wejściowe '!G24</f>
        <v>7576.1208721524117</v>
      </c>
      <c r="F258" s="56">
        <f>'Założenia-dane wejściowe '!O9*'Założenia-dane wejściowe '!H24</f>
        <v>7867.8015257302795</v>
      </c>
      <c r="G258" s="56">
        <f>'Założenia-dane wejściowe '!P9*'Założenia-dane wejściowe '!I24</f>
        <v>8202.183090573817</v>
      </c>
      <c r="H258" s="56">
        <f>'Założenia-dane wejściowe '!Q9*'Założenia-dane wejściowe '!J24</f>
        <v>8550.7758719232042</v>
      </c>
      <c r="I258" s="56">
        <f>'Założenia-dane wejściowe '!R9*'Założenia-dane wejściowe '!K24</f>
        <v>8914.1838464799403</v>
      </c>
      <c r="J258" s="56">
        <f>'Założenia-dane wejściowe '!S9*'Założenia-dane wejściowe '!L24</f>
        <v>9293.0366599553381</v>
      </c>
      <c r="K258" s="56">
        <f>'Założenia-dane wejściowe '!T9*'Założenia-dane wejściowe '!M24</f>
        <v>9687.9907180034388</v>
      </c>
      <c r="L258" s="56">
        <f>'Założenia-dane wejściowe '!U9*'Założenia-dane wejściowe '!N24</f>
        <v>10099.730323518585</v>
      </c>
      <c r="M258" s="56">
        <f>'Założenia-dane wejściowe '!V9*'Założenia-dane wejściowe '!O24</f>
        <v>10528.968862268126</v>
      </c>
      <c r="N258" s="56">
        <f>'Założenia-dane wejściowe '!W9*'Założenia-dane wejściowe '!P24</f>
        <v>10976.450038914521</v>
      </c>
      <c r="O258" s="56">
        <f>'Założenia-dane wejściowe '!X9*'Założenia-dane wejściowe '!Q24</f>
        <v>11442.949165568389</v>
      </c>
      <c r="P258" s="56">
        <f>'Założenia-dane wejściowe '!Y9*'Założenia-dane wejściowe '!R24</f>
        <v>11929.274505105048</v>
      </c>
      <c r="Q258" s="56">
        <f>'Założenia-dane wejściowe '!Z9*'Założenia-dane wejściowe '!S24</f>
        <v>12436.268671572012</v>
      </c>
      <c r="R258" s="56">
        <f>'Założenia-dane wejściowe '!AA9*'Założenia-dane wejściowe '!T24</f>
        <v>12964.81009011382</v>
      </c>
      <c r="S258" s="56">
        <f>'Założenia-dane wejściowe '!AB9*'Założenia-dane wejściowe '!U24</f>
        <v>13515.81451894366</v>
      </c>
      <c r="T258" s="56">
        <f>'Założenia-dane wejściowe '!AC9*'Założenia-dane wejściowe '!V24</f>
        <v>14090.236635998766</v>
      </c>
      <c r="U258" s="56">
        <f>'Założenia-dane wejściowe '!AD9*'Założenia-dane wejściowe '!W24</f>
        <v>14689.071693028714</v>
      </c>
      <c r="V258" s="56">
        <f>'Założenia-dane wejściowe '!AE9*'Założenia-dane wejściowe '!X24</f>
        <v>15313.357239982435</v>
      </c>
      <c r="W258" s="56">
        <f>'Założenia-dane wejściowe '!AF9*'Założenia-dane wejściowe '!Y24</f>
        <v>15964.174922681688</v>
      </c>
      <c r="X258" s="56">
        <f>'Założenia-dane wejściowe '!AG9*'Założenia-dane wejściowe '!Z24</f>
        <v>16642.652356895658</v>
      </c>
      <c r="Y258" s="56">
        <f>'Założenia-dane wejściowe '!AH9*'Założenia-dane wejściowe '!AA24</f>
        <v>17349.965082063725</v>
      </c>
      <c r="Z258" s="56">
        <f>'Założenia-dane wejściowe '!AI9*'Założenia-dane wejściowe '!AB24</f>
        <v>18087.338598051432</v>
      </c>
      <c r="AA258" s="56">
        <f>'Założenia-dane wejściowe '!AJ9*'Założenia-dane wejściowe '!AC24</f>
        <v>18856.050488468616</v>
      </c>
      <c r="AB258" s="56">
        <f>'Założenia-dane wejściowe '!AK9*'Założenia-dane wejściowe '!AD24</f>
        <v>19657.432634228535</v>
      </c>
      <c r="AC258" s="56">
        <f>'Założenia-dane wejściowe '!AL9*'Założenia-dane wejściowe '!AE24</f>
        <v>20492.873521183246</v>
      </c>
      <c r="AD258" s="56">
        <f>'Założenia-dane wejściowe '!AM9*'Założenia-dane wejściowe '!AF24</f>
        <v>21363.820645833533</v>
      </c>
      <c r="AE258" s="56">
        <f>'Założenia-dane wejściowe '!AN9*'Założenia-dane wejściowe '!AG24</f>
        <v>22271.783023281459</v>
      </c>
      <c r="AF258" s="56">
        <f>'Założenia-dane wejściowe '!AO9*'Założenia-dane wejściowe '!AH24</f>
        <v>23218.333801770917</v>
      </c>
      <c r="AG258" s="56">
        <f>'Założenia-dane wejściowe '!AP9*'Założenia-dane wejściowe '!AI24</f>
        <v>24205.11298834618</v>
      </c>
    </row>
    <row r="259" spans="1:33" s="140" customFormat="1" ht="13.5" x14ac:dyDescent="0.2">
      <c r="A259" s="148" t="s">
        <v>349</v>
      </c>
      <c r="B259" s="175">
        <f>C90*C91*$B$105*B247</f>
        <v>81.377189999999985</v>
      </c>
      <c r="C259" s="175">
        <f t="shared" ref="C259:AG259" si="118">D90*D91*$B$105*C247</f>
        <v>81.672569999999993</v>
      </c>
      <c r="D259" s="175">
        <f t="shared" si="118"/>
        <v>82.558709999999991</v>
      </c>
      <c r="E259" s="175">
        <f t="shared" si="118"/>
        <v>82.854089999999999</v>
      </c>
      <c r="F259" s="175">
        <f t="shared" si="118"/>
        <v>82.854089999999999</v>
      </c>
      <c r="G259" s="175">
        <f t="shared" si="118"/>
        <v>82.854089999999999</v>
      </c>
      <c r="H259" s="175">
        <f t="shared" si="118"/>
        <v>82.854089999999999</v>
      </c>
      <c r="I259" s="175">
        <f t="shared" si="118"/>
        <v>82.854089999999999</v>
      </c>
      <c r="J259" s="175">
        <f t="shared" si="118"/>
        <v>88.318619999999996</v>
      </c>
      <c r="K259" s="175">
        <f t="shared" si="118"/>
        <v>88.318619999999996</v>
      </c>
      <c r="L259" s="175">
        <f t="shared" si="118"/>
        <v>88.318619999999996</v>
      </c>
      <c r="M259" s="175">
        <f t="shared" si="118"/>
        <v>88.318619999999996</v>
      </c>
      <c r="N259" s="175">
        <f t="shared" si="118"/>
        <v>88.318619999999996</v>
      </c>
      <c r="O259" s="175">
        <f t="shared" si="118"/>
        <v>88.318619999999996</v>
      </c>
      <c r="P259" s="175">
        <f t="shared" si="118"/>
        <v>88.318619999999996</v>
      </c>
      <c r="Q259" s="175">
        <f t="shared" si="118"/>
        <v>88.318619999999996</v>
      </c>
      <c r="R259" s="175">
        <f t="shared" si="118"/>
        <v>88.318619999999996</v>
      </c>
      <c r="S259" s="175">
        <f t="shared" si="118"/>
        <v>88.318619999999996</v>
      </c>
      <c r="T259" s="175">
        <f t="shared" si="118"/>
        <v>88.61399999999999</v>
      </c>
      <c r="U259" s="175">
        <f t="shared" si="118"/>
        <v>88.61399999999999</v>
      </c>
      <c r="V259" s="175">
        <f t="shared" si="118"/>
        <v>88.61399999999999</v>
      </c>
      <c r="W259" s="175">
        <f t="shared" si="118"/>
        <v>88.61399999999999</v>
      </c>
      <c r="X259" s="175">
        <f t="shared" si="118"/>
        <v>88.61399999999999</v>
      </c>
      <c r="Y259" s="175">
        <f t="shared" si="118"/>
        <v>88.909379999999985</v>
      </c>
      <c r="Z259" s="175">
        <f t="shared" si="118"/>
        <v>88.909379999999985</v>
      </c>
      <c r="AA259" s="175">
        <f t="shared" si="118"/>
        <v>88.909379999999985</v>
      </c>
      <c r="AB259" s="175">
        <f t="shared" si="118"/>
        <v>88.909379999999985</v>
      </c>
      <c r="AC259" s="175">
        <f t="shared" si="118"/>
        <v>88.909379999999985</v>
      </c>
      <c r="AD259" s="175">
        <f t="shared" si="118"/>
        <v>89.057069999999996</v>
      </c>
      <c r="AE259" s="175">
        <f t="shared" si="118"/>
        <v>89.057069999999996</v>
      </c>
      <c r="AF259" s="175">
        <f t="shared" si="118"/>
        <v>89.057069999999996</v>
      </c>
      <c r="AG259" s="175">
        <f t="shared" si="118"/>
        <v>89.057069999999996</v>
      </c>
    </row>
    <row r="260" spans="1:33" s="140" customFormat="1" ht="13.5" x14ac:dyDescent="0.2">
      <c r="A260" s="148" t="s">
        <v>348</v>
      </c>
      <c r="B260" s="175">
        <f>C110*C111*B253*$B$125</f>
        <v>80.45225099999999</v>
      </c>
      <c r="C260" s="175">
        <f t="shared" ref="C260:AG260" si="119">D110*D111*C253*$B$125</f>
        <v>80.590247999999988</v>
      </c>
      <c r="D260" s="175">
        <f t="shared" si="119"/>
        <v>81.418229999999994</v>
      </c>
      <c r="E260" s="175">
        <f t="shared" si="119"/>
        <v>83.764178999999984</v>
      </c>
      <c r="F260" s="175">
        <f t="shared" si="119"/>
        <v>83.764178999999984</v>
      </c>
      <c r="G260" s="175">
        <f t="shared" si="119"/>
        <v>83.902175999999997</v>
      </c>
      <c r="H260" s="175">
        <f t="shared" si="119"/>
        <v>87.490097999999989</v>
      </c>
      <c r="I260" s="175">
        <f t="shared" si="119"/>
        <v>92.043998999999985</v>
      </c>
      <c r="J260" s="175">
        <f t="shared" si="119"/>
        <v>88.594073999999992</v>
      </c>
      <c r="K260" s="175">
        <f t="shared" si="119"/>
        <v>88.594073999999992</v>
      </c>
      <c r="L260" s="175">
        <f t="shared" si="119"/>
        <v>88.594073999999992</v>
      </c>
      <c r="M260" s="175">
        <f t="shared" si="119"/>
        <v>88.594073999999992</v>
      </c>
      <c r="N260" s="175">
        <f t="shared" si="119"/>
        <v>88.594073999999992</v>
      </c>
      <c r="O260" s="175">
        <f t="shared" si="119"/>
        <v>88.594073999999992</v>
      </c>
      <c r="P260" s="175">
        <f t="shared" si="119"/>
        <v>88.594073999999992</v>
      </c>
      <c r="Q260" s="175">
        <f t="shared" si="119"/>
        <v>88.594073999999992</v>
      </c>
      <c r="R260" s="175">
        <f t="shared" si="119"/>
        <v>88.594073999999992</v>
      </c>
      <c r="S260" s="175">
        <f t="shared" si="119"/>
        <v>88.594073999999992</v>
      </c>
      <c r="T260" s="175">
        <f t="shared" si="119"/>
        <v>89.008065000000002</v>
      </c>
      <c r="U260" s="175">
        <f t="shared" si="119"/>
        <v>89.008065000000002</v>
      </c>
      <c r="V260" s="175">
        <f t="shared" si="119"/>
        <v>89.008065000000002</v>
      </c>
      <c r="W260" s="175">
        <f t="shared" si="119"/>
        <v>89.008065000000002</v>
      </c>
      <c r="X260" s="175">
        <f t="shared" si="119"/>
        <v>87.904088999999985</v>
      </c>
      <c r="Y260" s="175">
        <f t="shared" si="119"/>
        <v>86.110127999999989</v>
      </c>
      <c r="Z260" s="175">
        <f t="shared" si="119"/>
        <v>88.870067999999989</v>
      </c>
      <c r="AA260" s="175">
        <f t="shared" si="119"/>
        <v>88.870067999999989</v>
      </c>
      <c r="AB260" s="175">
        <f t="shared" si="119"/>
        <v>88.870067999999989</v>
      </c>
      <c r="AC260" s="175">
        <f t="shared" si="119"/>
        <v>88.870067999999989</v>
      </c>
      <c r="AD260" s="175">
        <f t="shared" si="119"/>
        <v>89.146061999999986</v>
      </c>
      <c r="AE260" s="175">
        <f t="shared" si="119"/>
        <v>89.146061999999986</v>
      </c>
      <c r="AF260" s="175">
        <f t="shared" si="119"/>
        <v>89.146061999999986</v>
      </c>
      <c r="AG260" s="175">
        <f t="shared" si="119"/>
        <v>89.146061999999986</v>
      </c>
    </row>
    <row r="261" spans="1:33" s="140" customFormat="1" ht="13.5" x14ac:dyDescent="0.2">
      <c r="A261" s="176" t="s">
        <v>88</v>
      </c>
      <c r="B261" s="177">
        <f t="shared" ref="B261:AG261" si="120">(B260+B259)/B258</f>
        <v>2.277391283532338E-2</v>
      </c>
      <c r="C261" s="177">
        <f t="shared" si="120"/>
        <v>2.2709996079805114E-2</v>
      </c>
      <c r="D261" s="177">
        <f t="shared" si="120"/>
        <v>2.243392115544653E-2</v>
      </c>
      <c r="E261" s="177">
        <f t="shared" si="120"/>
        <v>2.1992556852206472E-2</v>
      </c>
      <c r="F261" s="177">
        <f t="shared" si="120"/>
        <v>2.1177233367555583E-2</v>
      </c>
      <c r="G261" s="177">
        <f t="shared" si="120"/>
        <v>2.0330717341781976E-2</v>
      </c>
      <c r="H261" s="177">
        <f t="shared" si="120"/>
        <v>1.992148906151681E-2</v>
      </c>
      <c r="I261" s="177">
        <f t="shared" si="120"/>
        <v>1.9620202142124794E-2</v>
      </c>
      <c r="J261" s="177">
        <f t="shared" si="120"/>
        <v>1.9037124297844987E-2</v>
      </c>
      <c r="K261" s="177">
        <f t="shared" si="120"/>
        <v>1.8261030501529964E-2</v>
      </c>
      <c r="L261" s="177">
        <f t="shared" si="120"/>
        <v>1.7516576020652246E-2</v>
      </c>
      <c r="M261" s="177">
        <f t="shared" si="120"/>
        <v>1.6802471003023733E-2</v>
      </c>
      <c r="N261" s="177">
        <f t="shared" si="120"/>
        <v>1.6117478180358497E-2</v>
      </c>
      <c r="O261" s="177">
        <f t="shared" si="120"/>
        <v>1.5460410724564506E-2</v>
      </c>
      <c r="P261" s="177">
        <f t="shared" si="120"/>
        <v>1.4830130191428779E-2</v>
      </c>
      <c r="Q261" s="177">
        <f t="shared" si="120"/>
        <v>1.4225544548133122E-2</v>
      </c>
      <c r="R261" s="177">
        <f t="shared" si="120"/>
        <v>1.3645606281182854E-2</v>
      </c>
      <c r="S261" s="177">
        <f t="shared" si="120"/>
        <v>1.3089310581470361E-2</v>
      </c>
      <c r="T261" s="177">
        <f t="shared" si="120"/>
        <v>1.2606038463981376E-2</v>
      </c>
      <c r="U261" s="177">
        <f t="shared" si="120"/>
        <v>1.2092123226840647E-2</v>
      </c>
      <c r="V261" s="177">
        <f t="shared" si="120"/>
        <v>1.1599158970590549E-2</v>
      </c>
      <c r="W261" s="177">
        <f t="shared" si="120"/>
        <v>1.1126291578504125E-2</v>
      </c>
      <c r="X261" s="177">
        <f t="shared" si="120"/>
        <v>1.0606367615848329E-2</v>
      </c>
      <c r="Y261" s="177">
        <f t="shared" si="120"/>
        <v>1.0087600013727632E-2</v>
      </c>
      <c r="Z261" s="177">
        <f t="shared" si="120"/>
        <v>9.8289445424078227E-3</v>
      </c>
      <c r="AA261" s="177">
        <f t="shared" si="120"/>
        <v>9.4282441653792074E-3</v>
      </c>
      <c r="AB261" s="177">
        <f t="shared" si="120"/>
        <v>9.0438792953277756E-3</v>
      </c>
      <c r="AC261" s="177">
        <f t="shared" si="120"/>
        <v>8.6751839763335985E-3</v>
      </c>
      <c r="AD261" s="177">
        <f t="shared" si="120"/>
        <v>8.3413512477111124E-3</v>
      </c>
      <c r="AE261" s="177">
        <f t="shared" si="120"/>
        <v>8.0012961608739684E-3</v>
      </c>
      <c r="AF261" s="177">
        <f t="shared" si="120"/>
        <v>7.6751042310541683E-3</v>
      </c>
      <c r="AG261" s="177">
        <f t="shared" si="120"/>
        <v>7.3622102935771401E-3</v>
      </c>
    </row>
    <row r="262" spans="1:33" s="140" customFormat="1" ht="13.5" x14ac:dyDescent="0.2">
      <c r="A262" s="14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  <c r="AB262" s="178"/>
      <c r="AC262" s="178"/>
      <c r="AD262" s="178"/>
      <c r="AE262" s="178"/>
      <c r="AF262" s="178"/>
      <c r="AG262" s="178"/>
    </row>
    <row r="263" spans="1:33" s="140" customFormat="1" ht="27" x14ac:dyDescent="0.2">
      <c r="A263" s="179" t="s">
        <v>89</v>
      </c>
      <c r="B263" s="180">
        <f>'Założenia-dane wejściowe '!K9</f>
        <v>1299.07</v>
      </c>
      <c r="C263" s="180">
        <f>'Założenia-dane wejściowe '!L9</f>
        <v>1306.2148849999999</v>
      </c>
      <c r="D263" s="180">
        <f>'Założenia-dane wejściowe '!M9</f>
        <v>1336.2578273549998</v>
      </c>
      <c r="E263" s="180">
        <f>'Założenia-dane wejściowe '!N9</f>
        <v>1385.0312380534574</v>
      </c>
      <c r="F263" s="180">
        <f>'Założenia-dane wejściowe '!O9</f>
        <v>1438.3549407185155</v>
      </c>
      <c r="G263" s="180">
        <f>'Założenia-dane wejściowe '!P9</f>
        <v>1499.4850256990526</v>
      </c>
      <c r="H263" s="180">
        <f>'Założenia-dane wejściowe '!Q9</f>
        <v>1563.2131392912622</v>
      </c>
      <c r="I263" s="180">
        <f>'Założenia-dane wejściowe '!R9</f>
        <v>1629.649697711141</v>
      </c>
      <c r="J263" s="180">
        <f>'Założenia-dane wejściowe '!S9</f>
        <v>1698.9098098638644</v>
      </c>
      <c r="K263" s="180">
        <f>'Założenia-dane wejściowe '!T9</f>
        <v>1771.1134767830786</v>
      </c>
      <c r="L263" s="180">
        <f>'Założenia-dane wejściowe '!U9</f>
        <v>1846.3857995463593</v>
      </c>
      <c r="M263" s="180">
        <f>'Założenia-dane wejściowe '!V9</f>
        <v>1924.8571960270797</v>
      </c>
      <c r="N263" s="180">
        <f>'Założenia-dane wejściowe '!W9</f>
        <v>2006.6636268582306</v>
      </c>
      <c r="O263" s="180">
        <f>'Założenia-dane wejściowe '!X9</f>
        <v>2091.9468309997055</v>
      </c>
      <c r="P263" s="180">
        <f>'Założenia-dane wejściowe '!Y9</f>
        <v>2180.8545713171934</v>
      </c>
      <c r="Q263" s="180">
        <f>'Założenia-dane wejściowe '!Z9</f>
        <v>2273.540890598174</v>
      </c>
      <c r="R263" s="180">
        <f>'Założenia-dane wejściowe '!AA9</f>
        <v>2370.1663784485963</v>
      </c>
      <c r="S263" s="180">
        <f>'Założenia-dane wejściowe '!AB9</f>
        <v>2470.8984495326617</v>
      </c>
      <c r="T263" s="180">
        <f>'Założenia-dane wejściowe '!AC9</f>
        <v>2575.9116336378002</v>
      </c>
      <c r="U263" s="180">
        <f>'Założenia-dane wejściowe '!AD9</f>
        <v>2685.3878780674067</v>
      </c>
      <c r="V263" s="180">
        <f>'Założenia-dane wejściowe '!AE9</f>
        <v>2799.5168628852716</v>
      </c>
      <c r="W263" s="180">
        <f>'Założenia-dane wejściowe '!AF9</f>
        <v>2918.4963295578955</v>
      </c>
      <c r="X263" s="180">
        <f>'Założenia-dane wejściowe '!AG9</f>
        <v>3042.532423564106</v>
      </c>
      <c r="Y263" s="180">
        <f>'Założenia-dane wejściowe '!AH9</f>
        <v>3171.8400515655803</v>
      </c>
      <c r="Z263" s="180">
        <f>'Założenia-dane wejściowe '!AI9</f>
        <v>3306.6432537571172</v>
      </c>
      <c r="AA263" s="180">
        <f>'Założenia-dane wejściowe '!AJ9</f>
        <v>3447.175592041795</v>
      </c>
      <c r="AB263" s="180">
        <f>'Założenia-dane wejściowe '!AK9</f>
        <v>3593.6805547035715</v>
      </c>
      <c r="AC263" s="180">
        <f>'Założenia-dane wejściowe '!AL9</f>
        <v>3746.4119782784733</v>
      </c>
      <c r="AD263" s="180">
        <f>'Założenia-dane wejściowe '!AM9</f>
        <v>3905.634487355308</v>
      </c>
      <c r="AE263" s="180">
        <f>'Założenia-dane wejściowe '!AN9</f>
        <v>4071.6239530679086</v>
      </c>
      <c r="AF263" s="180">
        <f>'Założenia-dane wejściowe '!AO9</f>
        <v>4244.6679710732942</v>
      </c>
      <c r="AG263" s="180">
        <f>'Założenia-dane wejściowe '!AP9</f>
        <v>4425.0663598439087</v>
      </c>
    </row>
    <row r="264" spans="1:33" s="140" customFormat="1" ht="27" x14ac:dyDescent="0.2">
      <c r="A264" s="179" t="s">
        <v>90</v>
      </c>
      <c r="B264" s="181">
        <v>0.03</v>
      </c>
      <c r="C264" s="181">
        <v>0.03</v>
      </c>
      <c r="D264" s="181">
        <v>0.03</v>
      </c>
      <c r="E264" s="181">
        <v>0.03</v>
      </c>
      <c r="F264" s="181">
        <v>0.03</v>
      </c>
      <c r="G264" s="181">
        <v>0.03</v>
      </c>
      <c r="H264" s="181">
        <v>0.03</v>
      </c>
      <c r="I264" s="181">
        <v>0.03</v>
      </c>
      <c r="J264" s="181">
        <v>0.03</v>
      </c>
      <c r="K264" s="181">
        <v>0.03</v>
      </c>
      <c r="L264" s="181">
        <v>0.03</v>
      </c>
      <c r="M264" s="181">
        <v>0.03</v>
      </c>
      <c r="N264" s="181">
        <v>0.03</v>
      </c>
      <c r="O264" s="181">
        <v>0.03</v>
      </c>
      <c r="P264" s="181">
        <v>0.03</v>
      </c>
      <c r="Q264" s="181">
        <v>0.03</v>
      </c>
      <c r="R264" s="181">
        <v>0.03</v>
      </c>
      <c r="S264" s="181">
        <v>0.03</v>
      </c>
      <c r="T264" s="181">
        <v>0.03</v>
      </c>
      <c r="U264" s="181">
        <v>0.03</v>
      </c>
      <c r="V264" s="181">
        <v>0.03</v>
      </c>
      <c r="W264" s="181">
        <v>0.03</v>
      </c>
      <c r="X264" s="181">
        <v>0.03</v>
      </c>
      <c r="Y264" s="181">
        <v>0.03</v>
      </c>
      <c r="Z264" s="181">
        <v>0.03</v>
      </c>
      <c r="AA264" s="181">
        <v>0.03</v>
      </c>
      <c r="AB264" s="181">
        <v>0.03</v>
      </c>
      <c r="AC264" s="181">
        <v>0.03</v>
      </c>
      <c r="AD264" s="181">
        <v>0.03</v>
      </c>
      <c r="AE264" s="181">
        <v>0.03</v>
      </c>
      <c r="AF264" s="181">
        <v>0.03</v>
      </c>
      <c r="AG264" s="181">
        <v>0.03</v>
      </c>
    </row>
    <row r="265" spans="1:33" s="140" customFormat="1" ht="27" x14ac:dyDescent="0.2">
      <c r="A265" s="179" t="s">
        <v>92</v>
      </c>
      <c r="B265" s="181">
        <f t="shared" ref="B265:AG265" si="121">1-B266</f>
        <v>0.50285775874366401</v>
      </c>
      <c r="C265" s="181">
        <f t="shared" si="121"/>
        <v>0.50333508937333993</v>
      </c>
      <c r="D265" s="181">
        <f t="shared" si="121"/>
        <v>0.50347756214989747</v>
      </c>
      <c r="E265" s="181">
        <f t="shared" si="121"/>
        <v>0.49726893993839305</v>
      </c>
      <c r="F265" s="181">
        <f t="shared" si="121"/>
        <v>0.49726893993839305</v>
      </c>
      <c r="G265" s="181">
        <f t="shared" si="121"/>
        <v>0.49685743143229166</v>
      </c>
      <c r="H265" s="181">
        <f t="shared" si="121"/>
        <v>0.48639223311804447</v>
      </c>
      <c r="I265" s="181">
        <f t="shared" si="121"/>
        <v>0.47372781757495364</v>
      </c>
      <c r="J265" s="181">
        <f t="shared" si="121"/>
        <v>0.49922149735620447</v>
      </c>
      <c r="K265" s="181">
        <f t="shared" si="121"/>
        <v>0.49922149735620447</v>
      </c>
      <c r="L265" s="181">
        <f t="shared" si="121"/>
        <v>0.49922149735620447</v>
      </c>
      <c r="M265" s="181">
        <f t="shared" si="121"/>
        <v>0.49922149735620447</v>
      </c>
      <c r="N265" s="181">
        <f t="shared" si="121"/>
        <v>0.49922149735620447</v>
      </c>
      <c r="O265" s="181">
        <f t="shared" si="121"/>
        <v>0.49922149735620447</v>
      </c>
      <c r="P265" s="181">
        <f t="shared" si="121"/>
        <v>0.49922149735620447</v>
      </c>
      <c r="Q265" s="181">
        <f t="shared" si="121"/>
        <v>0.49922149735620447</v>
      </c>
      <c r="R265" s="181">
        <f t="shared" si="121"/>
        <v>0.49922149735620447</v>
      </c>
      <c r="S265" s="181">
        <f t="shared" si="121"/>
        <v>0.49922149735620447</v>
      </c>
      <c r="T265" s="181">
        <f t="shared" si="121"/>
        <v>0.49889072058699457</v>
      </c>
      <c r="U265" s="181">
        <f t="shared" si="121"/>
        <v>0.49889072058699457</v>
      </c>
      <c r="V265" s="181">
        <f t="shared" si="121"/>
        <v>0.49889072058699457</v>
      </c>
      <c r="W265" s="181">
        <f t="shared" si="121"/>
        <v>0.49889072058699457</v>
      </c>
      <c r="X265" s="181">
        <f t="shared" si="121"/>
        <v>0.50201087323124149</v>
      </c>
      <c r="Y265" s="181">
        <f t="shared" si="121"/>
        <v>0.50799697140046818</v>
      </c>
      <c r="Z265" s="181">
        <f t="shared" si="121"/>
        <v>0.50011056396125153</v>
      </c>
      <c r="AA265" s="181">
        <f t="shared" si="121"/>
        <v>0.50011056396125153</v>
      </c>
      <c r="AB265" s="181">
        <f t="shared" si="121"/>
        <v>0.50011056396125153</v>
      </c>
      <c r="AC265" s="181">
        <f t="shared" si="121"/>
        <v>0.50011056396125153</v>
      </c>
      <c r="AD265" s="181">
        <f t="shared" si="121"/>
        <v>0.4997503074188393</v>
      </c>
      <c r="AE265" s="181">
        <f t="shared" si="121"/>
        <v>0.4997503074188393</v>
      </c>
      <c r="AF265" s="181">
        <f t="shared" si="121"/>
        <v>0.4997503074188393</v>
      </c>
      <c r="AG265" s="181">
        <f t="shared" si="121"/>
        <v>0.4997503074188393</v>
      </c>
    </row>
    <row r="266" spans="1:33" s="140" customFormat="1" ht="27" x14ac:dyDescent="0.2">
      <c r="A266" s="179" t="s">
        <v>91</v>
      </c>
      <c r="B266" s="181">
        <f t="shared" ref="B266:AG266" si="122">B260/(B259+B260)</f>
        <v>0.49714224125633605</v>
      </c>
      <c r="C266" s="181">
        <f t="shared" si="122"/>
        <v>0.49666491062666002</v>
      </c>
      <c r="D266" s="181">
        <f t="shared" si="122"/>
        <v>0.49652243785010258</v>
      </c>
      <c r="E266" s="181">
        <f t="shared" si="122"/>
        <v>0.50273106006160695</v>
      </c>
      <c r="F266" s="181">
        <f t="shared" si="122"/>
        <v>0.50273106006160695</v>
      </c>
      <c r="G266" s="181">
        <f t="shared" si="122"/>
        <v>0.50314256856770834</v>
      </c>
      <c r="H266" s="181">
        <f t="shared" si="122"/>
        <v>0.51360776688195553</v>
      </c>
      <c r="I266" s="181">
        <f t="shared" si="122"/>
        <v>0.52627218242504636</v>
      </c>
      <c r="J266" s="181">
        <f t="shared" si="122"/>
        <v>0.50077850264379553</v>
      </c>
      <c r="K266" s="181">
        <f t="shared" si="122"/>
        <v>0.50077850264379553</v>
      </c>
      <c r="L266" s="181">
        <f t="shared" si="122"/>
        <v>0.50077850264379553</v>
      </c>
      <c r="M266" s="181">
        <f t="shared" si="122"/>
        <v>0.50077850264379553</v>
      </c>
      <c r="N266" s="181">
        <f t="shared" si="122"/>
        <v>0.50077850264379553</v>
      </c>
      <c r="O266" s="181">
        <f t="shared" si="122"/>
        <v>0.50077850264379553</v>
      </c>
      <c r="P266" s="181">
        <f t="shared" si="122"/>
        <v>0.50077850264379553</v>
      </c>
      <c r="Q266" s="181">
        <f t="shared" si="122"/>
        <v>0.50077850264379553</v>
      </c>
      <c r="R266" s="181">
        <f t="shared" si="122"/>
        <v>0.50077850264379553</v>
      </c>
      <c r="S266" s="181">
        <f t="shared" si="122"/>
        <v>0.50077850264379553</v>
      </c>
      <c r="T266" s="181">
        <f t="shared" si="122"/>
        <v>0.50110927941300543</v>
      </c>
      <c r="U266" s="181">
        <f t="shared" si="122"/>
        <v>0.50110927941300543</v>
      </c>
      <c r="V266" s="181">
        <f t="shared" si="122"/>
        <v>0.50110927941300543</v>
      </c>
      <c r="W266" s="181">
        <f t="shared" si="122"/>
        <v>0.50110927941300543</v>
      </c>
      <c r="X266" s="181">
        <f t="shared" si="122"/>
        <v>0.49798912676875851</v>
      </c>
      <c r="Y266" s="181">
        <f t="shared" si="122"/>
        <v>0.49200302859953188</v>
      </c>
      <c r="Z266" s="181">
        <f t="shared" si="122"/>
        <v>0.49988943603874841</v>
      </c>
      <c r="AA266" s="181">
        <f t="shared" si="122"/>
        <v>0.49988943603874841</v>
      </c>
      <c r="AB266" s="181">
        <f t="shared" si="122"/>
        <v>0.49988943603874841</v>
      </c>
      <c r="AC266" s="181">
        <f t="shared" si="122"/>
        <v>0.49988943603874841</v>
      </c>
      <c r="AD266" s="181">
        <f t="shared" si="122"/>
        <v>0.5002496925811607</v>
      </c>
      <c r="AE266" s="181">
        <f t="shared" si="122"/>
        <v>0.5002496925811607</v>
      </c>
      <c r="AF266" s="181">
        <f t="shared" si="122"/>
        <v>0.5002496925811607</v>
      </c>
      <c r="AG266" s="181">
        <f t="shared" si="122"/>
        <v>0.5002496925811607</v>
      </c>
    </row>
    <row r="267" spans="1:33" s="140" customFormat="1" ht="40.5" x14ac:dyDescent="0.2">
      <c r="A267" s="179" t="s">
        <v>351</v>
      </c>
      <c r="B267" s="180">
        <f t="shared" ref="B267:AG267" si="123">ROUND(B264*B263,2)</f>
        <v>38.97</v>
      </c>
      <c r="C267" s="180">
        <f t="shared" si="123"/>
        <v>39.19</v>
      </c>
      <c r="D267" s="180">
        <f t="shared" si="123"/>
        <v>40.090000000000003</v>
      </c>
      <c r="E267" s="180">
        <f t="shared" si="123"/>
        <v>41.55</v>
      </c>
      <c r="F267" s="180">
        <f t="shared" si="123"/>
        <v>43.15</v>
      </c>
      <c r="G267" s="180">
        <f t="shared" si="123"/>
        <v>44.98</v>
      </c>
      <c r="H267" s="180">
        <f t="shared" si="123"/>
        <v>46.9</v>
      </c>
      <c r="I267" s="180">
        <f t="shared" si="123"/>
        <v>48.89</v>
      </c>
      <c r="J267" s="180">
        <f t="shared" si="123"/>
        <v>50.97</v>
      </c>
      <c r="K267" s="180">
        <f t="shared" si="123"/>
        <v>53.13</v>
      </c>
      <c r="L267" s="180">
        <f t="shared" si="123"/>
        <v>55.39</v>
      </c>
      <c r="M267" s="180">
        <f t="shared" si="123"/>
        <v>57.75</v>
      </c>
      <c r="N267" s="180">
        <f t="shared" si="123"/>
        <v>60.2</v>
      </c>
      <c r="O267" s="180">
        <f t="shared" si="123"/>
        <v>62.76</v>
      </c>
      <c r="P267" s="180">
        <f t="shared" si="123"/>
        <v>65.430000000000007</v>
      </c>
      <c r="Q267" s="180">
        <f t="shared" si="123"/>
        <v>68.209999999999994</v>
      </c>
      <c r="R267" s="180">
        <f t="shared" si="123"/>
        <v>71.099999999999994</v>
      </c>
      <c r="S267" s="180">
        <f t="shared" si="123"/>
        <v>74.13</v>
      </c>
      <c r="T267" s="180">
        <f t="shared" si="123"/>
        <v>77.28</v>
      </c>
      <c r="U267" s="180">
        <f t="shared" si="123"/>
        <v>80.56</v>
      </c>
      <c r="V267" s="180">
        <f t="shared" si="123"/>
        <v>83.99</v>
      </c>
      <c r="W267" s="180">
        <f t="shared" si="123"/>
        <v>87.55</v>
      </c>
      <c r="X267" s="180">
        <f t="shared" si="123"/>
        <v>91.28</v>
      </c>
      <c r="Y267" s="180">
        <f t="shared" si="123"/>
        <v>95.16</v>
      </c>
      <c r="Z267" s="180">
        <f t="shared" si="123"/>
        <v>99.2</v>
      </c>
      <c r="AA267" s="180">
        <f t="shared" si="123"/>
        <v>103.42</v>
      </c>
      <c r="AB267" s="180">
        <f t="shared" si="123"/>
        <v>107.81</v>
      </c>
      <c r="AC267" s="180">
        <f t="shared" si="123"/>
        <v>112.39</v>
      </c>
      <c r="AD267" s="180">
        <f t="shared" si="123"/>
        <v>117.17</v>
      </c>
      <c r="AE267" s="180">
        <f t="shared" si="123"/>
        <v>122.15</v>
      </c>
      <c r="AF267" s="180">
        <f t="shared" si="123"/>
        <v>127.34</v>
      </c>
      <c r="AG267" s="180">
        <f t="shared" si="123"/>
        <v>132.75</v>
      </c>
    </row>
    <row r="268" spans="1:33" s="140" customFormat="1" ht="38.25" customHeight="1" x14ac:dyDescent="0.2">
      <c r="A268" s="179" t="s">
        <v>93</v>
      </c>
      <c r="B268" s="180">
        <f>ROUND((B267*12/365)/(C90*B265+C110*B266),2)</f>
        <v>14.6</v>
      </c>
      <c r="C268" s="180">
        <f t="shared" ref="C268:AG268" si="124">ROUND((C267*12/365)/(D90*C265+D110*C266),2)</f>
        <v>14.68</v>
      </c>
      <c r="D268" s="180">
        <f t="shared" si="124"/>
        <v>15.02</v>
      </c>
      <c r="E268" s="180">
        <f t="shared" si="124"/>
        <v>15.57</v>
      </c>
      <c r="F268" s="180">
        <f t="shared" si="124"/>
        <v>16.170000000000002</v>
      </c>
      <c r="G268" s="180">
        <f t="shared" si="124"/>
        <v>16.86</v>
      </c>
      <c r="H268" s="180">
        <f t="shared" si="124"/>
        <v>17.579999999999998</v>
      </c>
      <c r="I268" s="180">
        <f t="shared" si="124"/>
        <v>18.34</v>
      </c>
      <c r="J268" s="180">
        <f t="shared" si="124"/>
        <v>19.100000000000001</v>
      </c>
      <c r="K268" s="180">
        <f t="shared" si="124"/>
        <v>19.91</v>
      </c>
      <c r="L268" s="180">
        <f t="shared" si="124"/>
        <v>20.75</v>
      </c>
      <c r="M268" s="180">
        <f t="shared" si="124"/>
        <v>21.64</v>
      </c>
      <c r="N268" s="180">
        <f t="shared" si="124"/>
        <v>22.56</v>
      </c>
      <c r="O268" s="180">
        <f t="shared" si="124"/>
        <v>23.51</v>
      </c>
      <c r="P268" s="180">
        <f t="shared" si="124"/>
        <v>24.52</v>
      </c>
      <c r="Q268" s="180">
        <f t="shared" si="124"/>
        <v>25.56</v>
      </c>
      <c r="R268" s="180">
        <f t="shared" si="124"/>
        <v>26.64</v>
      </c>
      <c r="S268" s="180">
        <f t="shared" si="124"/>
        <v>27.77</v>
      </c>
      <c r="T268" s="180">
        <f t="shared" si="124"/>
        <v>28.96</v>
      </c>
      <c r="U268" s="180">
        <f t="shared" si="124"/>
        <v>30.18</v>
      </c>
      <c r="V268" s="180">
        <f t="shared" si="124"/>
        <v>31.47</v>
      </c>
      <c r="W268" s="180">
        <f t="shared" si="124"/>
        <v>32.799999999999997</v>
      </c>
      <c r="X268" s="180">
        <f t="shared" si="124"/>
        <v>34.200000000000003</v>
      </c>
      <c r="Y268" s="180">
        <f t="shared" si="124"/>
        <v>35.64</v>
      </c>
      <c r="Z268" s="180">
        <f t="shared" si="124"/>
        <v>37.17</v>
      </c>
      <c r="AA268" s="180">
        <f t="shared" si="124"/>
        <v>38.75</v>
      </c>
      <c r="AB268" s="180">
        <f t="shared" si="124"/>
        <v>40.39</v>
      </c>
      <c r="AC268" s="180">
        <f t="shared" si="124"/>
        <v>42.11</v>
      </c>
      <c r="AD268" s="180">
        <f t="shared" si="124"/>
        <v>43.9</v>
      </c>
      <c r="AE268" s="180">
        <f t="shared" si="124"/>
        <v>45.77</v>
      </c>
      <c r="AF268" s="180">
        <f t="shared" si="124"/>
        <v>47.71</v>
      </c>
      <c r="AG268" s="180">
        <f t="shared" si="124"/>
        <v>49.74</v>
      </c>
    </row>
    <row r="269" spans="1:33" s="140" customFormat="1" ht="27" x14ac:dyDescent="0.2">
      <c r="A269" s="182" t="s">
        <v>95</v>
      </c>
      <c r="B269" s="180">
        <f>ROUND(B268*B265,2)</f>
        <v>7.34</v>
      </c>
      <c r="C269" s="180">
        <f t="shared" ref="C269:AG269" si="125">ROUND(C268*C265,2)</f>
        <v>7.39</v>
      </c>
      <c r="D269" s="180">
        <f t="shared" si="125"/>
        <v>7.56</v>
      </c>
      <c r="E269" s="180">
        <f t="shared" si="125"/>
        <v>7.74</v>
      </c>
      <c r="F269" s="180">
        <f t="shared" si="125"/>
        <v>8.0399999999999991</v>
      </c>
      <c r="G269" s="180">
        <f t="shared" si="125"/>
        <v>8.3800000000000008</v>
      </c>
      <c r="H269" s="180">
        <f t="shared" si="125"/>
        <v>8.5500000000000007</v>
      </c>
      <c r="I269" s="180">
        <f t="shared" si="125"/>
        <v>8.69</v>
      </c>
      <c r="J269" s="180">
        <f t="shared" si="125"/>
        <v>9.5399999999999991</v>
      </c>
      <c r="K269" s="180">
        <f t="shared" si="125"/>
        <v>9.94</v>
      </c>
      <c r="L269" s="180">
        <f t="shared" si="125"/>
        <v>10.36</v>
      </c>
      <c r="M269" s="180">
        <f t="shared" si="125"/>
        <v>10.8</v>
      </c>
      <c r="N269" s="180">
        <f t="shared" si="125"/>
        <v>11.26</v>
      </c>
      <c r="O269" s="180">
        <f t="shared" si="125"/>
        <v>11.74</v>
      </c>
      <c r="P269" s="180">
        <f t="shared" si="125"/>
        <v>12.24</v>
      </c>
      <c r="Q269" s="180">
        <f t="shared" si="125"/>
        <v>12.76</v>
      </c>
      <c r="R269" s="180">
        <f t="shared" si="125"/>
        <v>13.3</v>
      </c>
      <c r="S269" s="180">
        <f t="shared" si="125"/>
        <v>13.86</v>
      </c>
      <c r="T269" s="180">
        <f t="shared" si="125"/>
        <v>14.45</v>
      </c>
      <c r="U269" s="180">
        <f t="shared" si="125"/>
        <v>15.06</v>
      </c>
      <c r="V269" s="180">
        <f t="shared" si="125"/>
        <v>15.7</v>
      </c>
      <c r="W269" s="180">
        <f t="shared" si="125"/>
        <v>16.36</v>
      </c>
      <c r="X269" s="180">
        <f t="shared" si="125"/>
        <v>17.170000000000002</v>
      </c>
      <c r="Y269" s="180">
        <f t="shared" si="125"/>
        <v>18.11</v>
      </c>
      <c r="Z269" s="180">
        <f t="shared" si="125"/>
        <v>18.59</v>
      </c>
      <c r="AA269" s="180">
        <f t="shared" si="125"/>
        <v>19.38</v>
      </c>
      <c r="AB269" s="180">
        <f t="shared" si="125"/>
        <v>20.2</v>
      </c>
      <c r="AC269" s="180">
        <f t="shared" si="125"/>
        <v>21.06</v>
      </c>
      <c r="AD269" s="180">
        <f t="shared" si="125"/>
        <v>21.94</v>
      </c>
      <c r="AE269" s="180">
        <f t="shared" si="125"/>
        <v>22.87</v>
      </c>
      <c r="AF269" s="180">
        <f t="shared" si="125"/>
        <v>23.84</v>
      </c>
      <c r="AG269" s="180">
        <f t="shared" si="125"/>
        <v>24.86</v>
      </c>
    </row>
    <row r="270" spans="1:33" s="140" customFormat="1" ht="27" x14ac:dyDescent="0.2">
      <c r="A270" s="182" t="s">
        <v>94</v>
      </c>
      <c r="B270" s="180">
        <f>ROUND(B268*B266,2)</f>
        <v>7.26</v>
      </c>
      <c r="C270" s="180">
        <f t="shared" ref="C270:AG270" si="126">ROUND(C268*C266,2)</f>
        <v>7.29</v>
      </c>
      <c r="D270" s="180">
        <f t="shared" si="126"/>
        <v>7.46</v>
      </c>
      <c r="E270" s="180">
        <f t="shared" si="126"/>
        <v>7.83</v>
      </c>
      <c r="F270" s="180">
        <f t="shared" si="126"/>
        <v>8.1300000000000008</v>
      </c>
      <c r="G270" s="180">
        <f t="shared" si="126"/>
        <v>8.48</v>
      </c>
      <c r="H270" s="180">
        <f t="shared" si="126"/>
        <v>9.0299999999999994</v>
      </c>
      <c r="I270" s="180">
        <f t="shared" si="126"/>
        <v>9.65</v>
      </c>
      <c r="J270" s="180">
        <f t="shared" si="126"/>
        <v>9.56</v>
      </c>
      <c r="K270" s="180">
        <f t="shared" si="126"/>
        <v>9.9700000000000006</v>
      </c>
      <c r="L270" s="180">
        <f t="shared" si="126"/>
        <v>10.39</v>
      </c>
      <c r="M270" s="180">
        <f t="shared" si="126"/>
        <v>10.84</v>
      </c>
      <c r="N270" s="180">
        <f t="shared" si="126"/>
        <v>11.3</v>
      </c>
      <c r="O270" s="180">
        <f t="shared" si="126"/>
        <v>11.77</v>
      </c>
      <c r="P270" s="180">
        <f t="shared" si="126"/>
        <v>12.28</v>
      </c>
      <c r="Q270" s="180">
        <f t="shared" si="126"/>
        <v>12.8</v>
      </c>
      <c r="R270" s="180">
        <f t="shared" si="126"/>
        <v>13.34</v>
      </c>
      <c r="S270" s="180">
        <f t="shared" si="126"/>
        <v>13.91</v>
      </c>
      <c r="T270" s="180">
        <f t="shared" si="126"/>
        <v>14.51</v>
      </c>
      <c r="U270" s="180">
        <f t="shared" si="126"/>
        <v>15.12</v>
      </c>
      <c r="V270" s="180">
        <f t="shared" si="126"/>
        <v>15.77</v>
      </c>
      <c r="W270" s="180">
        <f t="shared" si="126"/>
        <v>16.440000000000001</v>
      </c>
      <c r="X270" s="180">
        <f t="shared" si="126"/>
        <v>17.03</v>
      </c>
      <c r="Y270" s="180">
        <f t="shared" si="126"/>
        <v>17.53</v>
      </c>
      <c r="Z270" s="180">
        <f t="shared" si="126"/>
        <v>18.579999999999998</v>
      </c>
      <c r="AA270" s="180">
        <f t="shared" si="126"/>
        <v>19.37</v>
      </c>
      <c r="AB270" s="180">
        <f t="shared" si="126"/>
        <v>20.190000000000001</v>
      </c>
      <c r="AC270" s="180">
        <f t="shared" si="126"/>
        <v>21.05</v>
      </c>
      <c r="AD270" s="180">
        <f t="shared" si="126"/>
        <v>21.96</v>
      </c>
      <c r="AE270" s="180">
        <f t="shared" si="126"/>
        <v>22.9</v>
      </c>
      <c r="AF270" s="180">
        <f t="shared" si="126"/>
        <v>23.87</v>
      </c>
      <c r="AG270" s="180">
        <f t="shared" si="126"/>
        <v>24.88</v>
      </c>
    </row>
    <row r="271" spans="1:33" s="140" customFormat="1" ht="40.5" x14ac:dyDescent="0.2">
      <c r="A271" s="179" t="s">
        <v>96</v>
      </c>
      <c r="B271" s="180">
        <f>SUM(B272:B273)</f>
        <v>13.52</v>
      </c>
      <c r="C271" s="180">
        <f t="shared" ref="C271:AG271" si="127">SUM(C272:C273)</f>
        <v>13.59</v>
      </c>
      <c r="D271" s="180">
        <f t="shared" si="127"/>
        <v>13.91</v>
      </c>
      <c r="E271" s="180">
        <f t="shared" si="127"/>
        <v>14.42</v>
      </c>
      <c r="F271" s="180">
        <f t="shared" si="127"/>
        <v>14.97</v>
      </c>
      <c r="G271" s="180">
        <f t="shared" si="127"/>
        <v>15.61</v>
      </c>
      <c r="H271" s="180">
        <f t="shared" si="127"/>
        <v>16.28</v>
      </c>
      <c r="I271" s="180">
        <f t="shared" si="127"/>
        <v>16.990000000000002</v>
      </c>
      <c r="J271" s="180">
        <f t="shared" si="127"/>
        <v>17.68</v>
      </c>
      <c r="K271" s="180">
        <f t="shared" si="127"/>
        <v>18.43</v>
      </c>
      <c r="L271" s="180">
        <f t="shared" si="127"/>
        <v>19.21</v>
      </c>
      <c r="M271" s="180">
        <f t="shared" si="127"/>
        <v>20.04</v>
      </c>
      <c r="N271" s="180">
        <f t="shared" si="127"/>
        <v>20.89</v>
      </c>
      <c r="O271" s="180">
        <f t="shared" si="127"/>
        <v>21.77</v>
      </c>
      <c r="P271" s="180">
        <f t="shared" si="127"/>
        <v>22.7</v>
      </c>
      <c r="Q271" s="180">
        <f t="shared" si="127"/>
        <v>23.66</v>
      </c>
      <c r="R271" s="180">
        <f t="shared" si="127"/>
        <v>24.66</v>
      </c>
      <c r="S271" s="180">
        <f t="shared" si="127"/>
        <v>25.71</v>
      </c>
      <c r="T271" s="180">
        <f t="shared" si="127"/>
        <v>26.82</v>
      </c>
      <c r="U271" s="180">
        <f t="shared" si="127"/>
        <v>27.939999999999998</v>
      </c>
      <c r="V271" s="180">
        <f t="shared" si="127"/>
        <v>29.14</v>
      </c>
      <c r="W271" s="180">
        <f t="shared" si="127"/>
        <v>30.37</v>
      </c>
      <c r="X271" s="180">
        <f t="shared" si="127"/>
        <v>31.67</v>
      </c>
      <c r="Y271" s="180">
        <f t="shared" si="127"/>
        <v>33</v>
      </c>
      <c r="Z271" s="180">
        <f t="shared" si="127"/>
        <v>34.409999999999997</v>
      </c>
      <c r="AA271" s="180">
        <f t="shared" si="127"/>
        <v>35.880000000000003</v>
      </c>
      <c r="AB271" s="180">
        <f t="shared" si="127"/>
        <v>37.39</v>
      </c>
      <c r="AC271" s="180">
        <f t="shared" si="127"/>
        <v>38.989999999999995</v>
      </c>
      <c r="AD271" s="180">
        <f t="shared" si="127"/>
        <v>40.64</v>
      </c>
      <c r="AE271" s="180">
        <f t="shared" si="127"/>
        <v>42.379999999999995</v>
      </c>
      <c r="AF271" s="180">
        <f t="shared" si="127"/>
        <v>44.17</v>
      </c>
      <c r="AG271" s="180">
        <f t="shared" si="127"/>
        <v>46.06</v>
      </c>
    </row>
    <row r="272" spans="1:33" s="140" customFormat="1" ht="27" x14ac:dyDescent="0.2">
      <c r="A272" s="183" t="s">
        <v>98</v>
      </c>
      <c r="B272" s="180">
        <f>ROUND(B269/1.08,2)</f>
        <v>6.8</v>
      </c>
      <c r="C272" s="180">
        <f t="shared" ref="C272:AG272" si="128">ROUND(C269/1.08,2)</f>
        <v>6.84</v>
      </c>
      <c r="D272" s="180">
        <f t="shared" si="128"/>
        <v>7</v>
      </c>
      <c r="E272" s="180">
        <f t="shared" si="128"/>
        <v>7.17</v>
      </c>
      <c r="F272" s="180">
        <f t="shared" si="128"/>
        <v>7.44</v>
      </c>
      <c r="G272" s="180">
        <f t="shared" si="128"/>
        <v>7.76</v>
      </c>
      <c r="H272" s="180">
        <f t="shared" si="128"/>
        <v>7.92</v>
      </c>
      <c r="I272" s="180">
        <f t="shared" si="128"/>
        <v>8.0500000000000007</v>
      </c>
      <c r="J272" s="180">
        <f t="shared" si="128"/>
        <v>8.83</v>
      </c>
      <c r="K272" s="180">
        <f t="shared" si="128"/>
        <v>9.1999999999999993</v>
      </c>
      <c r="L272" s="180">
        <f t="shared" si="128"/>
        <v>9.59</v>
      </c>
      <c r="M272" s="180">
        <f t="shared" si="128"/>
        <v>10</v>
      </c>
      <c r="N272" s="180">
        <f t="shared" si="128"/>
        <v>10.43</v>
      </c>
      <c r="O272" s="180">
        <f t="shared" si="128"/>
        <v>10.87</v>
      </c>
      <c r="P272" s="180">
        <f t="shared" si="128"/>
        <v>11.33</v>
      </c>
      <c r="Q272" s="180">
        <f t="shared" si="128"/>
        <v>11.81</v>
      </c>
      <c r="R272" s="180">
        <f t="shared" si="128"/>
        <v>12.31</v>
      </c>
      <c r="S272" s="180">
        <f t="shared" si="128"/>
        <v>12.83</v>
      </c>
      <c r="T272" s="180">
        <f t="shared" si="128"/>
        <v>13.38</v>
      </c>
      <c r="U272" s="180">
        <f t="shared" si="128"/>
        <v>13.94</v>
      </c>
      <c r="V272" s="180">
        <f t="shared" si="128"/>
        <v>14.54</v>
      </c>
      <c r="W272" s="180">
        <f t="shared" si="128"/>
        <v>15.15</v>
      </c>
      <c r="X272" s="180">
        <f t="shared" si="128"/>
        <v>15.9</v>
      </c>
      <c r="Y272" s="180">
        <f t="shared" si="128"/>
        <v>16.77</v>
      </c>
      <c r="Z272" s="180">
        <f t="shared" si="128"/>
        <v>17.21</v>
      </c>
      <c r="AA272" s="180">
        <f t="shared" si="128"/>
        <v>17.940000000000001</v>
      </c>
      <c r="AB272" s="180">
        <f t="shared" si="128"/>
        <v>18.7</v>
      </c>
      <c r="AC272" s="180">
        <f t="shared" si="128"/>
        <v>19.5</v>
      </c>
      <c r="AD272" s="180">
        <f t="shared" si="128"/>
        <v>20.309999999999999</v>
      </c>
      <c r="AE272" s="180">
        <f t="shared" si="128"/>
        <v>21.18</v>
      </c>
      <c r="AF272" s="180">
        <f t="shared" si="128"/>
        <v>22.07</v>
      </c>
      <c r="AG272" s="180">
        <f t="shared" si="128"/>
        <v>23.02</v>
      </c>
    </row>
    <row r="273" spans="1:36" s="140" customFormat="1" ht="27" x14ac:dyDescent="0.2">
      <c r="A273" s="183" t="s">
        <v>97</v>
      </c>
      <c r="B273" s="180">
        <f>ROUND(B270/1.08,2)</f>
        <v>6.72</v>
      </c>
      <c r="C273" s="180">
        <f t="shared" ref="C273:AG273" si="129">ROUND(C270/1.08,2)</f>
        <v>6.75</v>
      </c>
      <c r="D273" s="180">
        <f t="shared" si="129"/>
        <v>6.91</v>
      </c>
      <c r="E273" s="180">
        <f t="shared" si="129"/>
        <v>7.25</v>
      </c>
      <c r="F273" s="180">
        <f t="shared" si="129"/>
        <v>7.53</v>
      </c>
      <c r="G273" s="180">
        <f t="shared" si="129"/>
        <v>7.85</v>
      </c>
      <c r="H273" s="180">
        <f t="shared" si="129"/>
        <v>8.36</v>
      </c>
      <c r="I273" s="180">
        <f t="shared" si="129"/>
        <v>8.94</v>
      </c>
      <c r="J273" s="180">
        <f t="shared" si="129"/>
        <v>8.85</v>
      </c>
      <c r="K273" s="180">
        <f t="shared" si="129"/>
        <v>9.23</v>
      </c>
      <c r="L273" s="180">
        <f t="shared" si="129"/>
        <v>9.6199999999999992</v>
      </c>
      <c r="M273" s="180">
        <f t="shared" si="129"/>
        <v>10.039999999999999</v>
      </c>
      <c r="N273" s="180">
        <f t="shared" si="129"/>
        <v>10.46</v>
      </c>
      <c r="O273" s="180">
        <f t="shared" si="129"/>
        <v>10.9</v>
      </c>
      <c r="P273" s="180">
        <f t="shared" si="129"/>
        <v>11.37</v>
      </c>
      <c r="Q273" s="180">
        <f t="shared" si="129"/>
        <v>11.85</v>
      </c>
      <c r="R273" s="180">
        <f t="shared" si="129"/>
        <v>12.35</v>
      </c>
      <c r="S273" s="180">
        <f t="shared" si="129"/>
        <v>12.88</v>
      </c>
      <c r="T273" s="180">
        <f t="shared" si="129"/>
        <v>13.44</v>
      </c>
      <c r="U273" s="180">
        <f t="shared" si="129"/>
        <v>14</v>
      </c>
      <c r="V273" s="180">
        <f t="shared" si="129"/>
        <v>14.6</v>
      </c>
      <c r="W273" s="180">
        <f t="shared" si="129"/>
        <v>15.22</v>
      </c>
      <c r="X273" s="180">
        <f t="shared" si="129"/>
        <v>15.77</v>
      </c>
      <c r="Y273" s="180">
        <f t="shared" si="129"/>
        <v>16.23</v>
      </c>
      <c r="Z273" s="180">
        <f t="shared" si="129"/>
        <v>17.2</v>
      </c>
      <c r="AA273" s="180">
        <f t="shared" si="129"/>
        <v>17.940000000000001</v>
      </c>
      <c r="AB273" s="180">
        <f t="shared" si="129"/>
        <v>18.690000000000001</v>
      </c>
      <c r="AC273" s="180">
        <f t="shared" si="129"/>
        <v>19.489999999999998</v>
      </c>
      <c r="AD273" s="180">
        <f t="shared" si="129"/>
        <v>20.329999999999998</v>
      </c>
      <c r="AE273" s="180">
        <f t="shared" si="129"/>
        <v>21.2</v>
      </c>
      <c r="AF273" s="180">
        <f t="shared" si="129"/>
        <v>22.1</v>
      </c>
      <c r="AG273" s="180">
        <f t="shared" si="129"/>
        <v>23.04</v>
      </c>
    </row>
    <row r="274" spans="1:36" s="140" customFormat="1" ht="13.5" x14ac:dyDescent="0.25">
      <c r="A274" s="184" t="s">
        <v>99</v>
      </c>
      <c r="B274" s="164">
        <f t="shared" ref="B274:AG274" si="130">B257</f>
        <v>2013</v>
      </c>
      <c r="C274" s="164">
        <f t="shared" si="130"/>
        <v>2014</v>
      </c>
      <c r="D274" s="164">
        <f t="shared" si="130"/>
        <v>2015</v>
      </c>
      <c r="E274" s="164">
        <f t="shared" si="130"/>
        <v>2016</v>
      </c>
      <c r="F274" s="164">
        <f t="shared" si="130"/>
        <v>2017</v>
      </c>
      <c r="G274" s="164">
        <f t="shared" si="130"/>
        <v>2018</v>
      </c>
      <c r="H274" s="164">
        <f t="shared" si="130"/>
        <v>2019</v>
      </c>
      <c r="I274" s="164">
        <f t="shared" si="130"/>
        <v>2020</v>
      </c>
      <c r="J274" s="164">
        <f t="shared" si="130"/>
        <v>2021</v>
      </c>
      <c r="K274" s="164">
        <f t="shared" si="130"/>
        <v>2022</v>
      </c>
      <c r="L274" s="164">
        <f t="shared" si="130"/>
        <v>2023</v>
      </c>
      <c r="M274" s="164">
        <f t="shared" si="130"/>
        <v>2024</v>
      </c>
      <c r="N274" s="164">
        <f t="shared" si="130"/>
        <v>2025</v>
      </c>
      <c r="O274" s="164">
        <f t="shared" si="130"/>
        <v>2026</v>
      </c>
      <c r="P274" s="164">
        <f t="shared" si="130"/>
        <v>2027</v>
      </c>
      <c r="Q274" s="164">
        <f t="shared" si="130"/>
        <v>2028</v>
      </c>
      <c r="R274" s="164">
        <f t="shared" si="130"/>
        <v>2029</v>
      </c>
      <c r="S274" s="164">
        <f t="shared" si="130"/>
        <v>2030</v>
      </c>
      <c r="T274" s="164">
        <f t="shared" si="130"/>
        <v>2031</v>
      </c>
      <c r="U274" s="164">
        <f t="shared" si="130"/>
        <v>2032</v>
      </c>
      <c r="V274" s="164">
        <f t="shared" si="130"/>
        <v>2033</v>
      </c>
      <c r="W274" s="164">
        <f t="shared" si="130"/>
        <v>2034</v>
      </c>
      <c r="X274" s="164">
        <f t="shared" si="130"/>
        <v>2035</v>
      </c>
      <c r="Y274" s="164">
        <f t="shared" si="130"/>
        <v>2036</v>
      </c>
      <c r="Z274" s="164">
        <f t="shared" si="130"/>
        <v>2037</v>
      </c>
      <c r="AA274" s="164">
        <f t="shared" si="130"/>
        <v>2038</v>
      </c>
      <c r="AB274" s="164">
        <f t="shared" si="130"/>
        <v>2039</v>
      </c>
      <c r="AC274" s="164">
        <f t="shared" si="130"/>
        <v>2040</v>
      </c>
      <c r="AD274" s="164">
        <f t="shared" si="130"/>
        <v>2041</v>
      </c>
      <c r="AE274" s="164">
        <f t="shared" si="130"/>
        <v>2042</v>
      </c>
      <c r="AF274" s="164">
        <f t="shared" si="130"/>
        <v>2043</v>
      </c>
      <c r="AG274" s="164">
        <f t="shared" si="130"/>
        <v>2044</v>
      </c>
    </row>
    <row r="275" spans="1:36" s="140" customFormat="1" ht="15.75" x14ac:dyDescent="0.25">
      <c r="A275" s="13" t="s">
        <v>369</v>
      </c>
      <c r="B275" s="185">
        <f>IF((B247/1.08)-B272&gt;0,(B247/1.08)-B272,0)</f>
        <v>0</v>
      </c>
      <c r="C275" s="185">
        <f t="shared" ref="C275:AG275" si="131">IF((C247/1.08)-C272&gt;0,(C247/1.08)-C272,0)</f>
        <v>0</v>
      </c>
      <c r="D275" s="185">
        <f t="shared" si="131"/>
        <v>0</v>
      </c>
      <c r="E275" s="185">
        <f t="shared" si="131"/>
        <v>0</v>
      </c>
      <c r="F275" s="185">
        <f t="shared" si="131"/>
        <v>0</v>
      </c>
      <c r="G275" s="185">
        <f t="shared" si="131"/>
        <v>0</v>
      </c>
      <c r="H275" s="185">
        <f t="shared" si="131"/>
        <v>0</v>
      </c>
      <c r="I275" s="185">
        <f t="shared" si="131"/>
        <v>0</v>
      </c>
      <c r="J275" s="185">
        <f t="shared" si="131"/>
        <v>0</v>
      </c>
      <c r="K275" s="185">
        <f t="shared" si="131"/>
        <v>0</v>
      </c>
      <c r="L275" s="185">
        <f t="shared" si="131"/>
        <v>0</v>
      </c>
      <c r="M275" s="185">
        <f t="shared" si="131"/>
        <v>0</v>
      </c>
      <c r="N275" s="185">
        <f t="shared" si="131"/>
        <v>0</v>
      </c>
      <c r="O275" s="185">
        <f t="shared" si="131"/>
        <v>0</v>
      </c>
      <c r="P275" s="185">
        <f t="shared" si="131"/>
        <v>0</v>
      </c>
      <c r="Q275" s="185">
        <f t="shared" si="131"/>
        <v>0</v>
      </c>
      <c r="R275" s="185">
        <f t="shared" si="131"/>
        <v>0</v>
      </c>
      <c r="S275" s="185">
        <f t="shared" si="131"/>
        <v>0</v>
      </c>
      <c r="T275" s="185">
        <f t="shared" si="131"/>
        <v>0</v>
      </c>
      <c r="U275" s="185">
        <f t="shared" si="131"/>
        <v>0</v>
      </c>
      <c r="V275" s="185">
        <f t="shared" si="131"/>
        <v>0</v>
      </c>
      <c r="W275" s="185">
        <f t="shared" si="131"/>
        <v>0</v>
      </c>
      <c r="X275" s="185">
        <f t="shared" si="131"/>
        <v>0</v>
      </c>
      <c r="Y275" s="185">
        <f t="shared" si="131"/>
        <v>0</v>
      </c>
      <c r="Z275" s="185">
        <f t="shared" si="131"/>
        <v>0</v>
      </c>
      <c r="AA275" s="185">
        <f t="shared" si="131"/>
        <v>0</v>
      </c>
      <c r="AB275" s="185">
        <f t="shared" si="131"/>
        <v>0</v>
      </c>
      <c r="AC275" s="185">
        <f t="shared" si="131"/>
        <v>0</v>
      </c>
      <c r="AD275" s="185">
        <f t="shared" si="131"/>
        <v>0</v>
      </c>
      <c r="AE275" s="185">
        <f t="shared" si="131"/>
        <v>0</v>
      </c>
      <c r="AF275" s="185">
        <f t="shared" si="131"/>
        <v>0</v>
      </c>
      <c r="AG275" s="185">
        <f t="shared" si="131"/>
        <v>0</v>
      </c>
    </row>
    <row r="276" spans="1:36" s="140" customFormat="1" ht="15.75" x14ac:dyDescent="0.25">
      <c r="A276" s="13" t="s">
        <v>370</v>
      </c>
      <c r="B276" s="185">
        <f>IF((ROUND(B253/1.08,2)-B273)&gt;0,(ROUND(B253/1.08,2)-B273),0)</f>
        <v>0</v>
      </c>
      <c r="C276" s="185">
        <f t="shared" ref="C276:AG276" si="132">IF((ROUND(C253/1.08,2)-C273)&gt;0,(ROUND(C253/1.08,2)-C273),0)</f>
        <v>0</v>
      </c>
      <c r="D276" s="185">
        <f t="shared" si="132"/>
        <v>0</v>
      </c>
      <c r="E276" s="185">
        <f t="shared" si="132"/>
        <v>0</v>
      </c>
      <c r="F276" s="185">
        <f t="shared" si="132"/>
        <v>0</v>
      </c>
      <c r="G276" s="185">
        <f t="shared" si="132"/>
        <v>0</v>
      </c>
      <c r="H276" s="185">
        <f t="shared" si="132"/>
        <v>0</v>
      </c>
      <c r="I276" s="185">
        <f t="shared" si="132"/>
        <v>0</v>
      </c>
      <c r="J276" s="185">
        <f t="shared" si="132"/>
        <v>0</v>
      </c>
      <c r="K276" s="185">
        <f t="shared" si="132"/>
        <v>0</v>
      </c>
      <c r="L276" s="185">
        <f t="shared" si="132"/>
        <v>0</v>
      </c>
      <c r="M276" s="185">
        <f t="shared" si="132"/>
        <v>0</v>
      </c>
      <c r="N276" s="185">
        <f t="shared" si="132"/>
        <v>0</v>
      </c>
      <c r="O276" s="185">
        <f t="shared" si="132"/>
        <v>0</v>
      </c>
      <c r="P276" s="185">
        <f t="shared" si="132"/>
        <v>0</v>
      </c>
      <c r="Q276" s="185">
        <f t="shared" si="132"/>
        <v>0</v>
      </c>
      <c r="R276" s="185">
        <f t="shared" si="132"/>
        <v>0</v>
      </c>
      <c r="S276" s="185">
        <f t="shared" si="132"/>
        <v>0</v>
      </c>
      <c r="T276" s="185">
        <f t="shared" si="132"/>
        <v>0</v>
      </c>
      <c r="U276" s="185">
        <f t="shared" si="132"/>
        <v>0</v>
      </c>
      <c r="V276" s="185">
        <f t="shared" si="132"/>
        <v>0</v>
      </c>
      <c r="W276" s="185">
        <f t="shared" si="132"/>
        <v>0</v>
      </c>
      <c r="X276" s="185">
        <f t="shared" si="132"/>
        <v>0</v>
      </c>
      <c r="Y276" s="185">
        <f t="shared" si="132"/>
        <v>0</v>
      </c>
      <c r="Z276" s="185">
        <f t="shared" si="132"/>
        <v>0</v>
      </c>
      <c r="AA276" s="185">
        <f t="shared" si="132"/>
        <v>0</v>
      </c>
      <c r="AB276" s="185">
        <f t="shared" si="132"/>
        <v>0</v>
      </c>
      <c r="AC276" s="185">
        <f t="shared" si="132"/>
        <v>0</v>
      </c>
      <c r="AD276" s="185">
        <f t="shared" si="132"/>
        <v>0</v>
      </c>
      <c r="AE276" s="185">
        <f t="shared" si="132"/>
        <v>0</v>
      </c>
      <c r="AF276" s="185">
        <f t="shared" si="132"/>
        <v>0</v>
      </c>
      <c r="AG276" s="185">
        <f t="shared" si="132"/>
        <v>0</v>
      </c>
    </row>
    <row r="277" spans="1:36" hidden="1" x14ac:dyDescent="0.2">
      <c r="A277" s="168"/>
      <c r="AG277" s="249"/>
      <c r="AH277" s="249"/>
      <c r="AI277" s="249"/>
      <c r="AJ277" s="249"/>
    </row>
    <row r="278" spans="1:36" ht="15.75" x14ac:dyDescent="0.2">
      <c r="A278" s="233" t="s">
        <v>416</v>
      </c>
      <c r="AG278" s="249"/>
      <c r="AH278" s="249"/>
      <c r="AI278" s="249"/>
      <c r="AJ278" s="249"/>
    </row>
    <row r="279" spans="1:36" s="140" customFormat="1" ht="13.5" x14ac:dyDescent="0.2">
      <c r="A279" s="186" t="s">
        <v>100</v>
      </c>
      <c r="B279" s="18">
        <v>2013</v>
      </c>
      <c r="C279" s="18">
        <f>B279+1</f>
        <v>2014</v>
      </c>
      <c r="D279" s="18">
        <f t="shared" ref="D279:AG279" si="133">C279+1</f>
        <v>2015</v>
      </c>
      <c r="E279" s="18">
        <f t="shared" si="133"/>
        <v>2016</v>
      </c>
      <c r="F279" s="18">
        <f t="shared" si="133"/>
        <v>2017</v>
      </c>
      <c r="G279" s="18">
        <f t="shared" si="133"/>
        <v>2018</v>
      </c>
      <c r="H279" s="18">
        <f t="shared" si="133"/>
        <v>2019</v>
      </c>
      <c r="I279" s="18">
        <f t="shared" si="133"/>
        <v>2020</v>
      </c>
      <c r="J279" s="18">
        <f t="shared" si="133"/>
        <v>2021</v>
      </c>
      <c r="K279" s="18">
        <f t="shared" si="133"/>
        <v>2022</v>
      </c>
      <c r="L279" s="18">
        <f t="shared" si="133"/>
        <v>2023</v>
      </c>
      <c r="M279" s="18">
        <f t="shared" si="133"/>
        <v>2024</v>
      </c>
      <c r="N279" s="18">
        <f t="shared" si="133"/>
        <v>2025</v>
      </c>
      <c r="O279" s="18">
        <f t="shared" si="133"/>
        <v>2026</v>
      </c>
      <c r="P279" s="18">
        <f t="shared" si="133"/>
        <v>2027</v>
      </c>
      <c r="Q279" s="18">
        <f t="shared" si="133"/>
        <v>2028</v>
      </c>
      <c r="R279" s="18">
        <f t="shared" si="133"/>
        <v>2029</v>
      </c>
      <c r="S279" s="18">
        <f t="shared" si="133"/>
        <v>2030</v>
      </c>
      <c r="T279" s="18">
        <f t="shared" si="133"/>
        <v>2031</v>
      </c>
      <c r="U279" s="18">
        <f t="shared" si="133"/>
        <v>2032</v>
      </c>
      <c r="V279" s="18">
        <f t="shared" si="133"/>
        <v>2033</v>
      </c>
      <c r="W279" s="18">
        <f t="shared" si="133"/>
        <v>2034</v>
      </c>
      <c r="X279" s="18">
        <f t="shared" si="133"/>
        <v>2035</v>
      </c>
      <c r="Y279" s="18">
        <f t="shared" si="133"/>
        <v>2036</v>
      </c>
      <c r="Z279" s="18">
        <f t="shared" si="133"/>
        <v>2037</v>
      </c>
      <c r="AA279" s="18">
        <f t="shared" si="133"/>
        <v>2038</v>
      </c>
      <c r="AB279" s="18">
        <f t="shared" si="133"/>
        <v>2039</v>
      </c>
      <c r="AC279" s="18">
        <f t="shared" si="133"/>
        <v>2040</v>
      </c>
      <c r="AD279" s="18">
        <f t="shared" si="133"/>
        <v>2041</v>
      </c>
      <c r="AE279" s="18">
        <f t="shared" si="133"/>
        <v>2042</v>
      </c>
      <c r="AF279" s="18">
        <f t="shared" si="133"/>
        <v>2043</v>
      </c>
      <c r="AG279" s="18">
        <f t="shared" si="133"/>
        <v>2044</v>
      </c>
    </row>
    <row r="280" spans="1:36" s="140" customFormat="1" ht="13.5" x14ac:dyDescent="0.2">
      <c r="A280" s="116" t="s">
        <v>102</v>
      </c>
      <c r="B280" s="175">
        <f>(B246/1.08)*C60+(B252/1.08)*C80</f>
        <v>133621970.90253562</v>
      </c>
      <c r="C280" s="175">
        <f t="shared" ref="C280:AG280" si="134">(C246/1.08)*D60+(C252/1.08)*D80</f>
        <v>133983703.67272961</v>
      </c>
      <c r="D280" s="175">
        <f t="shared" si="134"/>
        <v>135400263.86344904</v>
      </c>
      <c r="E280" s="175">
        <f t="shared" si="134"/>
        <v>135400263.86344904</v>
      </c>
      <c r="F280" s="175">
        <f t="shared" si="134"/>
        <v>135400263.86344904</v>
      </c>
      <c r="G280" s="175">
        <f t="shared" si="134"/>
        <v>135400263.86344904</v>
      </c>
      <c r="H280" s="175">
        <f t="shared" si="134"/>
        <v>135400263.86344904</v>
      </c>
      <c r="I280" s="175">
        <f t="shared" si="134"/>
        <v>135400263.86344904</v>
      </c>
      <c r="J280" s="175">
        <f t="shared" si="134"/>
        <v>135400263.86344904</v>
      </c>
      <c r="K280" s="175">
        <f t="shared" si="134"/>
        <v>135400263.86344904</v>
      </c>
      <c r="L280" s="175">
        <f t="shared" si="134"/>
        <v>135400263.86344904</v>
      </c>
      <c r="M280" s="175">
        <f t="shared" si="134"/>
        <v>135400263.86344904</v>
      </c>
      <c r="N280" s="175">
        <f t="shared" si="134"/>
        <v>135400263.86344904</v>
      </c>
      <c r="O280" s="175">
        <f t="shared" si="134"/>
        <v>135400263.86344904</v>
      </c>
      <c r="P280" s="175">
        <f t="shared" si="134"/>
        <v>135400263.86344904</v>
      </c>
      <c r="Q280" s="175">
        <f t="shared" si="134"/>
        <v>135400263.86344904</v>
      </c>
      <c r="R280" s="175">
        <f t="shared" si="134"/>
        <v>135400263.86344904</v>
      </c>
      <c r="S280" s="175">
        <f t="shared" si="134"/>
        <v>135400263.86344904</v>
      </c>
      <c r="T280" s="175">
        <f t="shared" si="134"/>
        <v>135400263.86344904</v>
      </c>
      <c r="U280" s="175">
        <f t="shared" si="134"/>
        <v>135400263.86344904</v>
      </c>
      <c r="V280" s="175">
        <f t="shared" si="134"/>
        <v>135400263.86344904</v>
      </c>
      <c r="W280" s="175">
        <f t="shared" si="134"/>
        <v>135400263.86344904</v>
      </c>
      <c r="X280" s="175">
        <f t="shared" si="134"/>
        <v>135400263.86344904</v>
      </c>
      <c r="Y280" s="175">
        <f t="shared" si="134"/>
        <v>135400263.86344904</v>
      </c>
      <c r="Z280" s="175">
        <f t="shared" si="134"/>
        <v>135400263.86344904</v>
      </c>
      <c r="AA280" s="175">
        <f t="shared" si="134"/>
        <v>135400263.86344904</v>
      </c>
      <c r="AB280" s="175">
        <f t="shared" si="134"/>
        <v>135400263.86344904</v>
      </c>
      <c r="AC280" s="175">
        <f t="shared" si="134"/>
        <v>135400263.86344904</v>
      </c>
      <c r="AD280" s="175">
        <f t="shared" si="134"/>
        <v>135400263.86344904</v>
      </c>
      <c r="AE280" s="175">
        <f t="shared" si="134"/>
        <v>135400263.86344904</v>
      </c>
      <c r="AF280" s="175">
        <f t="shared" si="134"/>
        <v>135400263.86344904</v>
      </c>
      <c r="AG280" s="175">
        <f t="shared" si="134"/>
        <v>135400263.86344904</v>
      </c>
    </row>
    <row r="281" spans="1:36" s="140" customFormat="1" ht="13.5" x14ac:dyDescent="0.2">
      <c r="A281" s="116" t="s">
        <v>101</v>
      </c>
      <c r="B281" s="175">
        <f>(B247/1.08)*C100+(B253/1.08)*C120</f>
        <v>133621970.90253562</v>
      </c>
      <c r="C281" s="175">
        <f t="shared" ref="C281:AG281" si="135">(C247/1.08)*D100+(C253/1.08)*D120</f>
        <v>133983703.67272961</v>
      </c>
      <c r="D281" s="175">
        <f t="shared" si="135"/>
        <v>135400263.86344904</v>
      </c>
      <c r="E281" s="175">
        <f t="shared" si="135"/>
        <v>137529259.99437639</v>
      </c>
      <c r="F281" s="175">
        <f t="shared" si="135"/>
        <v>137529259.99437639</v>
      </c>
      <c r="G281" s="175">
        <f t="shared" si="135"/>
        <v>137639713.95442224</v>
      </c>
      <c r="H281" s="175">
        <f t="shared" si="135"/>
        <v>140511516.91561389</v>
      </c>
      <c r="I281" s="175">
        <f t="shared" si="135"/>
        <v>144156497.59712636</v>
      </c>
      <c r="J281" s="175">
        <f t="shared" si="135"/>
        <v>164007834.16668424</v>
      </c>
      <c r="K281" s="175">
        <f t="shared" si="135"/>
        <v>164007834.16668424</v>
      </c>
      <c r="L281" s="175">
        <f t="shared" si="135"/>
        <v>164007834.16668424</v>
      </c>
      <c r="M281" s="175">
        <f t="shared" si="135"/>
        <v>164007834.16668424</v>
      </c>
      <c r="N281" s="175">
        <f t="shared" si="135"/>
        <v>164007834.16668424</v>
      </c>
      <c r="O281" s="175">
        <f t="shared" si="135"/>
        <v>164007834.16668424</v>
      </c>
      <c r="P281" s="175">
        <f t="shared" si="135"/>
        <v>164007834.16668424</v>
      </c>
      <c r="Q281" s="175">
        <f t="shared" si="135"/>
        <v>164007834.16668424</v>
      </c>
      <c r="R281" s="175">
        <f t="shared" si="135"/>
        <v>164007834.16668424</v>
      </c>
      <c r="S281" s="175">
        <f t="shared" si="135"/>
        <v>164007834.16668424</v>
      </c>
      <c r="T281" s="175">
        <f t="shared" si="135"/>
        <v>164665485.18234026</v>
      </c>
      <c r="U281" s="175">
        <f t="shared" si="135"/>
        <v>164665485.18234026</v>
      </c>
      <c r="V281" s="175">
        <f t="shared" si="135"/>
        <v>164665485.18234026</v>
      </c>
      <c r="W281" s="175">
        <f t="shared" si="135"/>
        <v>164665485.18234026</v>
      </c>
      <c r="X281" s="175">
        <f t="shared" si="135"/>
        <v>163641804.57012174</v>
      </c>
      <c r="Y281" s="175">
        <f t="shared" si="135"/>
        <v>162252094.3613407</v>
      </c>
      <c r="Z281" s="175">
        <f t="shared" si="135"/>
        <v>164811295.89188701</v>
      </c>
      <c r="AA281" s="175">
        <f t="shared" si="135"/>
        <v>164811295.89188701</v>
      </c>
      <c r="AB281" s="175">
        <f t="shared" si="135"/>
        <v>164811295.89188701</v>
      </c>
      <c r="AC281" s="175">
        <f t="shared" si="135"/>
        <v>164811295.89188701</v>
      </c>
      <c r="AD281" s="175">
        <f t="shared" si="135"/>
        <v>165204101.43797868</v>
      </c>
      <c r="AE281" s="175">
        <f t="shared" si="135"/>
        <v>165204101.43797868</v>
      </c>
      <c r="AF281" s="175">
        <f t="shared" si="135"/>
        <v>165204101.43797868</v>
      </c>
      <c r="AG281" s="175">
        <f t="shared" si="135"/>
        <v>165204101.43797868</v>
      </c>
    </row>
    <row r="282" spans="1:36" s="140" customFormat="1" ht="13.5" x14ac:dyDescent="0.2">
      <c r="A282" s="148" t="s">
        <v>103</v>
      </c>
      <c r="B282" s="175">
        <f t="shared" ref="B282:AG282" si="136">B281-B280</f>
        <v>0</v>
      </c>
      <c r="C282" s="175">
        <f t="shared" si="136"/>
        <v>0</v>
      </c>
      <c r="D282" s="175">
        <f t="shared" si="136"/>
        <v>0</v>
      </c>
      <c r="E282" s="175">
        <f t="shared" si="136"/>
        <v>2128996.1309273541</v>
      </c>
      <c r="F282" s="175">
        <f t="shared" si="136"/>
        <v>2128996.1309273541</v>
      </c>
      <c r="G282" s="175">
        <f t="shared" si="136"/>
        <v>2239450.0909731984</v>
      </c>
      <c r="H282" s="175">
        <f t="shared" si="136"/>
        <v>5111253.0521648526</v>
      </c>
      <c r="I282" s="175">
        <f t="shared" si="136"/>
        <v>8756233.7336773276</v>
      </c>
      <c r="J282" s="175">
        <f t="shared" si="136"/>
        <v>28607570.303235203</v>
      </c>
      <c r="K282" s="175">
        <f t="shared" si="136"/>
        <v>28607570.303235203</v>
      </c>
      <c r="L282" s="175">
        <f t="shared" si="136"/>
        <v>28607570.303235203</v>
      </c>
      <c r="M282" s="175">
        <f t="shared" si="136"/>
        <v>28607570.303235203</v>
      </c>
      <c r="N282" s="175">
        <f t="shared" si="136"/>
        <v>28607570.303235203</v>
      </c>
      <c r="O282" s="175">
        <f t="shared" si="136"/>
        <v>28607570.303235203</v>
      </c>
      <c r="P282" s="175">
        <f t="shared" si="136"/>
        <v>28607570.303235203</v>
      </c>
      <c r="Q282" s="175">
        <f t="shared" si="136"/>
        <v>28607570.303235203</v>
      </c>
      <c r="R282" s="175">
        <f t="shared" si="136"/>
        <v>28607570.303235203</v>
      </c>
      <c r="S282" s="175">
        <f t="shared" si="136"/>
        <v>28607570.303235203</v>
      </c>
      <c r="T282" s="175">
        <f t="shared" si="136"/>
        <v>29265221.318891227</v>
      </c>
      <c r="U282" s="175">
        <f t="shared" si="136"/>
        <v>29265221.318891227</v>
      </c>
      <c r="V282" s="175">
        <f t="shared" si="136"/>
        <v>29265221.318891227</v>
      </c>
      <c r="W282" s="175">
        <f t="shared" si="136"/>
        <v>29265221.318891227</v>
      </c>
      <c r="X282" s="175">
        <f t="shared" si="136"/>
        <v>28241540.706672698</v>
      </c>
      <c r="Y282" s="175">
        <f t="shared" si="136"/>
        <v>26851830.497891665</v>
      </c>
      <c r="Z282" s="175">
        <f t="shared" si="136"/>
        <v>29411032.028437972</v>
      </c>
      <c r="AA282" s="175">
        <f t="shared" si="136"/>
        <v>29411032.028437972</v>
      </c>
      <c r="AB282" s="175">
        <f t="shared" si="136"/>
        <v>29411032.028437972</v>
      </c>
      <c r="AC282" s="175">
        <f t="shared" si="136"/>
        <v>29411032.028437972</v>
      </c>
      <c r="AD282" s="175">
        <f t="shared" si="136"/>
        <v>29803837.574529648</v>
      </c>
      <c r="AE282" s="175">
        <f t="shared" si="136"/>
        <v>29803837.574529648</v>
      </c>
      <c r="AF282" s="175">
        <f t="shared" si="136"/>
        <v>29803837.574529648</v>
      </c>
      <c r="AG282" s="175">
        <f t="shared" si="136"/>
        <v>29803837.574529648</v>
      </c>
    </row>
    <row r="284" spans="1:36" x14ac:dyDescent="0.2">
      <c r="E284" s="238"/>
    </row>
    <row r="350" spans="1:1" s="12" customFormat="1" x14ac:dyDescent="0.2">
      <c r="A350" s="251"/>
    </row>
    <row r="351" spans="1:1" s="12" customFormat="1" x14ac:dyDescent="0.2">
      <c r="A351" s="251"/>
    </row>
    <row r="352" spans="1:1" s="12" customFormat="1" x14ac:dyDescent="0.2">
      <c r="A352" s="251"/>
    </row>
    <row r="353" spans="1:1" s="12" customFormat="1" x14ac:dyDescent="0.2">
      <c r="A353" s="251"/>
    </row>
    <row r="354" spans="1:1" s="12" customFormat="1" x14ac:dyDescent="0.2">
      <c r="A354" s="251"/>
    </row>
    <row r="355" spans="1:1" s="12" customFormat="1" x14ac:dyDescent="0.2">
      <c r="A355" s="251"/>
    </row>
    <row r="356" spans="1:1" s="12" customFormat="1" x14ac:dyDescent="0.2">
      <c r="A356" s="251"/>
    </row>
    <row r="357" spans="1:1" s="12" customFormat="1" x14ac:dyDescent="0.2">
      <c r="A357" s="251"/>
    </row>
    <row r="358" spans="1:1" s="12" customFormat="1" x14ac:dyDescent="0.2">
      <c r="A358" s="251"/>
    </row>
    <row r="359" spans="1:1" s="12" customFormat="1" x14ac:dyDescent="0.2">
      <c r="A359" s="251"/>
    </row>
    <row r="360" spans="1:1" s="12" customFormat="1" x14ac:dyDescent="0.2">
      <c r="A360" s="251"/>
    </row>
    <row r="361" spans="1:1" s="12" customFormat="1" x14ac:dyDescent="0.2">
      <c r="A361" s="251"/>
    </row>
    <row r="362" spans="1:1" s="12" customFormat="1" x14ac:dyDescent="0.2">
      <c r="A362" s="251"/>
    </row>
    <row r="363" spans="1:1" s="12" customFormat="1" x14ac:dyDescent="0.2">
      <c r="A363" s="251"/>
    </row>
    <row r="364" spans="1:1" s="12" customFormat="1" x14ac:dyDescent="0.2">
      <c r="A364" s="251"/>
    </row>
    <row r="365" spans="1:1" s="12" customFormat="1" x14ac:dyDescent="0.2">
      <c r="A365" s="251"/>
    </row>
    <row r="366" spans="1:1" s="12" customFormat="1" x14ac:dyDescent="0.2">
      <c r="A366" s="251"/>
    </row>
    <row r="367" spans="1:1" s="12" customFormat="1" x14ac:dyDescent="0.2">
      <c r="A367" s="251"/>
    </row>
    <row r="368" spans="1:1" s="12" customFormat="1" x14ac:dyDescent="0.2">
      <c r="A368" s="251"/>
    </row>
    <row r="369" spans="1:1" s="12" customFormat="1" x14ac:dyDescent="0.2">
      <c r="A369" s="251"/>
    </row>
    <row r="370" spans="1:1" s="12" customFormat="1" x14ac:dyDescent="0.2">
      <c r="A370" s="251"/>
    </row>
    <row r="371" spans="1:1" s="12" customFormat="1" x14ac:dyDescent="0.2">
      <c r="A371" s="251"/>
    </row>
    <row r="372" spans="1:1" s="12" customFormat="1" x14ac:dyDescent="0.2">
      <c r="A372" s="251"/>
    </row>
    <row r="373" spans="1:1" s="12" customFormat="1" x14ac:dyDescent="0.2">
      <c r="A373" s="251"/>
    </row>
    <row r="374" spans="1:1" s="12" customFormat="1" x14ac:dyDescent="0.2">
      <c r="A374" s="251"/>
    </row>
    <row r="375" spans="1:1" s="12" customFormat="1" x14ac:dyDescent="0.2">
      <c r="A375" s="251"/>
    </row>
    <row r="376" spans="1:1" s="12" customFormat="1" x14ac:dyDescent="0.2">
      <c r="A376" s="251"/>
    </row>
    <row r="377" spans="1:1" s="12" customFormat="1" x14ac:dyDescent="0.2">
      <c r="A377" s="251"/>
    </row>
    <row r="378" spans="1:1" s="12" customFormat="1" x14ac:dyDescent="0.2">
      <c r="A378" s="251"/>
    </row>
    <row r="379" spans="1:1" s="12" customFormat="1" x14ac:dyDescent="0.2">
      <c r="A379" s="251"/>
    </row>
    <row r="380" spans="1:1" s="12" customFormat="1" x14ac:dyDescent="0.2">
      <c r="A380" s="251"/>
    </row>
    <row r="381" spans="1:1" s="12" customFormat="1" x14ac:dyDescent="0.2">
      <c r="A381" s="251"/>
    </row>
  </sheetData>
  <printOptions horizontalCentered="1" verticalCentered="1"/>
  <pageMargins left="0.55118110236220474" right="0.47244094488188981" top="0.78740157480314965" bottom="0.78740157480314965" header="0.11811023622047245" footer="0.11811023622047245"/>
  <pageSetup paperSize="8" scale="61" pageOrder="overThenDown" orientation="landscape" r:id="rId1"/>
  <headerFooter alignWithMargins="0">
    <oddHeader>&amp;C&amp;G</oddHeader>
    <oddFooter>Strona &amp;P z &amp;N</oddFooter>
  </headerFooter>
  <rowBreaks count="6" manualBreakCount="6">
    <brk id="46" max="16383" man="1"/>
    <brk id="85" max="16383" man="1"/>
    <brk id="126" max="16383" man="1"/>
    <brk id="166" max="16383" man="1"/>
    <brk id="214" max="16383" man="1"/>
    <brk id="25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4:AE31"/>
  <sheetViews>
    <sheetView workbookViewId="0"/>
  </sheetViews>
  <sheetFormatPr defaultRowHeight="12.75" x14ac:dyDescent="0.2"/>
  <cols>
    <col min="1" max="1" width="36.7109375" style="12" customWidth="1"/>
    <col min="2" max="2" width="12.7109375" style="12" bestFit="1" customWidth="1"/>
    <col min="3" max="3" width="11.28515625" style="12" bestFit="1" customWidth="1"/>
    <col min="4" max="8" width="11.85546875" style="12" bestFit="1" customWidth="1"/>
    <col min="9" max="13" width="11.85546875" style="12" hidden="1" customWidth="1"/>
    <col min="14" max="14" width="11.85546875" style="12" bestFit="1" customWidth="1"/>
    <col min="15" max="19" width="11.85546875" style="12" hidden="1" customWidth="1"/>
    <col min="20" max="20" width="11.85546875" style="12" bestFit="1" customWidth="1"/>
    <col min="21" max="24" width="11.85546875" style="12" hidden="1" customWidth="1"/>
    <col min="25" max="25" width="11.85546875" style="12" bestFit="1" customWidth="1"/>
    <col min="26" max="31" width="11.85546875" style="12" hidden="1" customWidth="1"/>
    <col min="32" max="32" width="10.28515625" style="12" customWidth="1"/>
    <col min="33" max="16384" width="9.140625" style="12"/>
  </cols>
  <sheetData>
    <row r="4" spans="1:31" ht="25.5" x14ac:dyDescent="0.2">
      <c r="A4" s="281" t="s">
        <v>352</v>
      </c>
    </row>
    <row r="5" spans="1:31" hidden="1" x14ac:dyDescent="0.2"/>
    <row r="6" spans="1:31" ht="15.75" x14ac:dyDescent="0.2">
      <c r="A6" s="233" t="s">
        <v>417</v>
      </c>
    </row>
    <row r="7" spans="1:31" s="1" customFormat="1" ht="13.5" x14ac:dyDescent="0.25">
      <c r="A7" s="454" t="s">
        <v>54</v>
      </c>
      <c r="B7" s="455" t="s">
        <v>55</v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7"/>
    </row>
    <row r="8" spans="1:31" s="1" customFormat="1" ht="13.5" x14ac:dyDescent="0.25">
      <c r="A8" s="454"/>
      <c r="B8" s="143">
        <v>2021</v>
      </c>
      <c r="C8" s="144">
        <f>B8+1</f>
        <v>2022</v>
      </c>
      <c r="D8" s="144">
        <f>C8+1</f>
        <v>2023</v>
      </c>
      <c r="E8" s="144">
        <f>D8+1</f>
        <v>2024</v>
      </c>
      <c r="F8" s="144">
        <f t="shared" ref="F8:AC8" si="0">E8+1</f>
        <v>2025</v>
      </c>
      <c r="G8" s="144">
        <f t="shared" si="0"/>
        <v>2026</v>
      </c>
      <c r="H8" s="144">
        <f t="shared" si="0"/>
        <v>2027</v>
      </c>
      <c r="I8" s="144">
        <f t="shared" si="0"/>
        <v>2028</v>
      </c>
      <c r="J8" s="144">
        <f>I8+1</f>
        <v>2029</v>
      </c>
      <c r="K8" s="144">
        <f t="shared" si="0"/>
        <v>2030</v>
      </c>
      <c r="L8" s="144">
        <f t="shared" si="0"/>
        <v>2031</v>
      </c>
      <c r="M8" s="144">
        <f t="shared" si="0"/>
        <v>2032</v>
      </c>
      <c r="N8" s="144">
        <f t="shared" si="0"/>
        <v>2033</v>
      </c>
      <c r="O8" s="144">
        <f t="shared" si="0"/>
        <v>2034</v>
      </c>
      <c r="P8" s="144">
        <f t="shared" si="0"/>
        <v>2035</v>
      </c>
      <c r="Q8" s="144">
        <f t="shared" si="0"/>
        <v>2036</v>
      </c>
      <c r="R8" s="144">
        <f t="shared" si="0"/>
        <v>2037</v>
      </c>
      <c r="S8" s="144">
        <f t="shared" si="0"/>
        <v>2038</v>
      </c>
      <c r="T8" s="144">
        <f t="shared" si="0"/>
        <v>2039</v>
      </c>
      <c r="U8" s="144">
        <f t="shared" si="0"/>
        <v>2040</v>
      </c>
      <c r="V8" s="144">
        <f t="shared" si="0"/>
        <v>2041</v>
      </c>
      <c r="W8" s="144">
        <f t="shared" si="0"/>
        <v>2042</v>
      </c>
      <c r="X8" s="144">
        <f t="shared" si="0"/>
        <v>2043</v>
      </c>
      <c r="Y8" s="144">
        <f t="shared" si="0"/>
        <v>2044</v>
      </c>
      <c r="Z8" s="144">
        <f t="shared" si="0"/>
        <v>2045</v>
      </c>
      <c r="AA8" s="144">
        <f t="shared" si="0"/>
        <v>2046</v>
      </c>
      <c r="AB8" s="144">
        <f t="shared" si="0"/>
        <v>2047</v>
      </c>
      <c r="AC8" s="144">
        <f t="shared" si="0"/>
        <v>2048</v>
      </c>
      <c r="AD8" s="144">
        <f>AC8+1</f>
        <v>2049</v>
      </c>
      <c r="AE8" s="144">
        <f>AD8+1</f>
        <v>2050</v>
      </c>
    </row>
    <row r="9" spans="1:31" s="1" customFormat="1" ht="13.5" x14ac:dyDescent="0.25">
      <c r="A9" s="145" t="s">
        <v>56</v>
      </c>
      <c r="B9" s="276">
        <f>B10*(B12-B11)</f>
        <v>943200000.00000012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</row>
    <row r="10" spans="1:31" s="51" customFormat="1" ht="27" x14ac:dyDescent="0.25">
      <c r="A10" s="116" t="s">
        <v>57</v>
      </c>
      <c r="B10" s="118">
        <f>'Założenia-dane wejściowe '!C328</f>
        <v>104800000.00000001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31" s="1" customFormat="1" ht="13.5" x14ac:dyDescent="0.25">
      <c r="A11" s="148" t="s">
        <v>58</v>
      </c>
      <c r="B11" s="118">
        <f>'Założenia-dane wejściowe '!C329</f>
        <v>45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</row>
    <row r="12" spans="1:31" s="1" customFormat="1" ht="12" customHeight="1" x14ac:dyDescent="0.25">
      <c r="A12" s="148" t="s">
        <v>59</v>
      </c>
      <c r="B12" s="118">
        <f>'Założenia-dane wejściowe '!C330</f>
        <v>54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</row>
    <row r="13" spans="1:31" s="1" customFormat="1" ht="13.5" x14ac:dyDescent="0.25">
      <c r="A13" s="145" t="s">
        <v>60</v>
      </c>
      <c r="B13" s="276">
        <f>B19+B22</f>
        <v>92123250</v>
      </c>
      <c r="C13" s="276">
        <f>C19+C22</f>
        <v>95479440</v>
      </c>
      <c r="D13" s="276">
        <f t="shared" ref="D13:AC13" si="1">D19+D22</f>
        <v>142393950</v>
      </c>
      <c r="E13" s="276">
        <f t="shared" si="1"/>
        <v>145144650</v>
      </c>
      <c r="F13" s="276">
        <f t="shared" si="1"/>
        <v>143604930</v>
      </c>
      <c r="G13" s="276">
        <f t="shared" si="1"/>
        <v>144402465</v>
      </c>
      <c r="H13" s="276">
        <f t="shared" si="1"/>
        <v>145353972</v>
      </c>
      <c r="I13" s="276">
        <f t="shared" si="1"/>
        <v>144936000</v>
      </c>
      <c r="J13" s="276">
        <f t="shared" si="1"/>
        <v>144936000</v>
      </c>
      <c r="K13" s="276">
        <f t="shared" si="1"/>
        <v>144936000</v>
      </c>
      <c r="L13" s="276">
        <f t="shared" si="1"/>
        <v>144936000</v>
      </c>
      <c r="M13" s="276">
        <f t="shared" si="1"/>
        <v>144936000</v>
      </c>
      <c r="N13" s="276">
        <f t="shared" si="1"/>
        <v>144936000</v>
      </c>
      <c r="O13" s="276">
        <f t="shared" si="1"/>
        <v>144936000</v>
      </c>
      <c r="P13" s="276">
        <f t="shared" si="1"/>
        <v>144936000</v>
      </c>
      <c r="Q13" s="276">
        <f t="shared" si="1"/>
        <v>144936000</v>
      </c>
      <c r="R13" s="276">
        <f t="shared" si="1"/>
        <v>144936000</v>
      </c>
      <c r="S13" s="276">
        <f t="shared" si="1"/>
        <v>144936000</v>
      </c>
      <c r="T13" s="276">
        <f t="shared" si="1"/>
        <v>144936000</v>
      </c>
      <c r="U13" s="276">
        <f t="shared" si="1"/>
        <v>144936000</v>
      </c>
      <c r="V13" s="276">
        <f t="shared" si="1"/>
        <v>144936000</v>
      </c>
      <c r="W13" s="276">
        <f t="shared" si="1"/>
        <v>144936000</v>
      </c>
      <c r="X13" s="276">
        <f t="shared" si="1"/>
        <v>144936000</v>
      </c>
      <c r="Y13" s="276">
        <f t="shared" si="1"/>
        <v>144936000</v>
      </c>
      <c r="Z13" s="276">
        <f t="shared" si="1"/>
        <v>144936000</v>
      </c>
      <c r="AA13" s="276">
        <f t="shared" si="1"/>
        <v>144936000</v>
      </c>
      <c r="AB13" s="276">
        <f t="shared" si="1"/>
        <v>144936000</v>
      </c>
      <c r="AC13" s="276">
        <f t="shared" si="1"/>
        <v>144936000</v>
      </c>
      <c r="AD13" s="276">
        <f>AD19+AD22</f>
        <v>144936000</v>
      </c>
      <c r="AE13" s="276">
        <f>AE19+AE22</f>
        <v>144936000</v>
      </c>
    </row>
    <row r="14" spans="1:31" s="1" customFormat="1" ht="13.5" x14ac:dyDescent="0.25">
      <c r="A14" s="148" t="s">
        <v>61</v>
      </c>
      <c r="B14" s="3">
        <f>'Założenia-dane wejściowe '!C332</f>
        <v>2500</v>
      </c>
      <c r="C14" s="3">
        <f>'Założenia-dane wejściowe '!D332</f>
        <v>800</v>
      </c>
      <c r="D14" s="3">
        <f>'Założenia-dane wejściowe '!E332</f>
        <v>1500</v>
      </c>
      <c r="E14" s="3">
        <f>'Założenia-dane wejściowe '!F332</f>
        <v>500</v>
      </c>
      <c r="F14" s="3">
        <f>'Założenia-dane wejściowe '!G332</f>
        <v>100</v>
      </c>
      <c r="G14" s="3">
        <f>'Założenia-dane wejściowe '!H332</f>
        <v>50</v>
      </c>
      <c r="H14" s="3">
        <f>'Założenia-dane wejściowe '!I332</f>
        <v>40</v>
      </c>
      <c r="I14" s="3">
        <f>'Założenia-dane wejściowe '!J332</f>
        <v>0</v>
      </c>
      <c r="J14" s="3">
        <f>'Założenia-dane wejściowe '!K332</f>
        <v>0</v>
      </c>
      <c r="K14" s="3">
        <f>'Założenia-dane wejściowe '!L332</f>
        <v>0</v>
      </c>
      <c r="L14" s="3">
        <f>'Założenia-dane wejściowe '!M332</f>
        <v>0</v>
      </c>
      <c r="M14" s="3">
        <f>'Założenia-dane wejściowe '!N332</f>
        <v>0</v>
      </c>
      <c r="N14" s="3">
        <f>'Założenia-dane wejściowe '!O332</f>
        <v>0</v>
      </c>
      <c r="O14" s="3">
        <f>'Założenia-dane wejściowe '!P332</f>
        <v>0</v>
      </c>
      <c r="P14" s="3">
        <f>'Założenia-dane wejściowe '!Q332</f>
        <v>0</v>
      </c>
      <c r="Q14" s="3">
        <f>'Założenia-dane wejściowe '!R332</f>
        <v>0</v>
      </c>
      <c r="R14" s="3">
        <f>'Założenia-dane wejściowe '!S332</f>
        <v>0</v>
      </c>
      <c r="S14" s="3">
        <f>'Założenia-dane wejściowe '!T332</f>
        <v>0</v>
      </c>
      <c r="T14" s="3">
        <f>'Założenia-dane wejściowe '!U332</f>
        <v>0</v>
      </c>
      <c r="U14" s="3">
        <f>'Założenia-dane wejściowe '!V332</f>
        <v>0</v>
      </c>
      <c r="V14" s="3">
        <f>'Założenia-dane wejściowe '!W332</f>
        <v>0</v>
      </c>
      <c r="W14" s="3">
        <f>'Założenia-dane wejściowe '!X332</f>
        <v>0</v>
      </c>
      <c r="X14" s="3">
        <f>'Założenia-dane wejściowe '!Y332</f>
        <v>0</v>
      </c>
      <c r="Y14" s="3">
        <f>'Założenia-dane wejściowe '!Z332</f>
        <v>0</v>
      </c>
      <c r="Z14" s="3">
        <f>'Założenia-dane wejściowe '!AA332</f>
        <v>0</v>
      </c>
      <c r="AA14" s="3">
        <f>'Założenia-dane wejściowe '!AB332</f>
        <v>0</v>
      </c>
      <c r="AB14" s="3">
        <f>'Założenia-dane wejściowe '!AC332</f>
        <v>0</v>
      </c>
      <c r="AC14" s="3">
        <f>'Założenia-dane wejściowe '!AD332</f>
        <v>0</v>
      </c>
      <c r="AD14" s="3">
        <f>'Założenia-dane wejściowe '!AE332</f>
        <v>0</v>
      </c>
      <c r="AE14" s="3">
        <f>'Założenia-dane wejściowe '!AF332</f>
        <v>0</v>
      </c>
    </row>
    <row r="15" spans="1:31" s="1" customFormat="1" ht="13.5" x14ac:dyDescent="0.25">
      <c r="A15" s="148" t="s">
        <v>62</v>
      </c>
      <c r="B15" s="154">
        <f>'Założenia-dane wejściowe '!C333</f>
        <v>1037.98</v>
      </c>
      <c r="C15" s="154">
        <f>B15</f>
        <v>1037.98</v>
      </c>
      <c r="D15" s="154">
        <f>C15</f>
        <v>1037.98</v>
      </c>
      <c r="E15" s="154">
        <f>D15</f>
        <v>1037.98</v>
      </c>
      <c r="F15" s="154">
        <f t="shared" ref="F15:AC15" si="2">E15</f>
        <v>1037.98</v>
      </c>
      <c r="G15" s="154">
        <f t="shared" si="2"/>
        <v>1037.98</v>
      </c>
      <c r="H15" s="154">
        <f t="shared" si="2"/>
        <v>1037.98</v>
      </c>
      <c r="I15" s="154">
        <f t="shared" si="2"/>
        <v>1037.98</v>
      </c>
      <c r="J15" s="154">
        <f t="shared" si="2"/>
        <v>1037.98</v>
      </c>
      <c r="K15" s="154">
        <f t="shared" si="2"/>
        <v>1037.98</v>
      </c>
      <c r="L15" s="154">
        <f t="shared" si="2"/>
        <v>1037.98</v>
      </c>
      <c r="M15" s="154">
        <f t="shared" si="2"/>
        <v>1037.98</v>
      </c>
      <c r="N15" s="154">
        <f t="shared" si="2"/>
        <v>1037.98</v>
      </c>
      <c r="O15" s="154">
        <f t="shared" si="2"/>
        <v>1037.98</v>
      </c>
      <c r="P15" s="154">
        <f t="shared" si="2"/>
        <v>1037.98</v>
      </c>
      <c r="Q15" s="154">
        <f t="shared" si="2"/>
        <v>1037.98</v>
      </c>
      <c r="R15" s="154">
        <f t="shared" si="2"/>
        <v>1037.98</v>
      </c>
      <c r="S15" s="154">
        <f t="shared" si="2"/>
        <v>1037.98</v>
      </c>
      <c r="T15" s="154">
        <f t="shared" si="2"/>
        <v>1037.98</v>
      </c>
      <c r="U15" s="154">
        <f t="shared" si="2"/>
        <v>1037.98</v>
      </c>
      <c r="V15" s="154">
        <f t="shared" si="2"/>
        <v>1037.98</v>
      </c>
      <c r="W15" s="154">
        <f t="shared" si="2"/>
        <v>1037.98</v>
      </c>
      <c r="X15" s="154">
        <f t="shared" si="2"/>
        <v>1037.98</v>
      </c>
      <c r="Y15" s="154">
        <f t="shared" si="2"/>
        <v>1037.98</v>
      </c>
      <c r="Z15" s="154">
        <f t="shared" si="2"/>
        <v>1037.98</v>
      </c>
      <c r="AA15" s="154">
        <f t="shared" si="2"/>
        <v>1037.98</v>
      </c>
      <c r="AB15" s="154">
        <f t="shared" si="2"/>
        <v>1037.98</v>
      </c>
      <c r="AC15" s="154">
        <f t="shared" si="2"/>
        <v>1037.98</v>
      </c>
      <c r="AD15" s="154">
        <f t="shared" ref="AD15:AE18" si="3">AC15</f>
        <v>1037.98</v>
      </c>
      <c r="AE15" s="154">
        <f t="shared" si="3"/>
        <v>1037.98</v>
      </c>
    </row>
    <row r="16" spans="1:31" s="1" customFormat="1" ht="13.5" x14ac:dyDescent="0.25">
      <c r="A16" s="148" t="s">
        <v>63</v>
      </c>
      <c r="B16" s="3">
        <f>'Założenia-dane wejściowe '!C334</f>
        <v>3</v>
      </c>
      <c r="C16" s="3">
        <f>B16</f>
        <v>3</v>
      </c>
      <c r="D16" s="3">
        <f t="shared" ref="D16:AC18" si="4">C16</f>
        <v>3</v>
      </c>
      <c r="E16" s="3">
        <f t="shared" si="4"/>
        <v>3</v>
      </c>
      <c r="F16" s="3">
        <f t="shared" si="4"/>
        <v>3</v>
      </c>
      <c r="G16" s="3">
        <f t="shared" si="4"/>
        <v>3</v>
      </c>
      <c r="H16" s="3">
        <f t="shared" si="4"/>
        <v>3</v>
      </c>
      <c r="I16" s="3">
        <f t="shared" si="4"/>
        <v>3</v>
      </c>
      <c r="J16" s="3">
        <f t="shared" si="4"/>
        <v>3</v>
      </c>
      <c r="K16" s="3">
        <f t="shared" si="4"/>
        <v>3</v>
      </c>
      <c r="L16" s="3">
        <f t="shared" si="4"/>
        <v>3</v>
      </c>
      <c r="M16" s="3">
        <f t="shared" si="4"/>
        <v>3</v>
      </c>
      <c r="N16" s="3">
        <f t="shared" si="4"/>
        <v>3</v>
      </c>
      <c r="O16" s="3">
        <f t="shared" si="4"/>
        <v>3</v>
      </c>
      <c r="P16" s="3">
        <f t="shared" si="4"/>
        <v>3</v>
      </c>
      <c r="Q16" s="3">
        <f t="shared" si="4"/>
        <v>3</v>
      </c>
      <c r="R16" s="3">
        <f t="shared" si="4"/>
        <v>3</v>
      </c>
      <c r="S16" s="3">
        <f t="shared" si="4"/>
        <v>3</v>
      </c>
      <c r="T16" s="3">
        <f t="shared" si="4"/>
        <v>3</v>
      </c>
      <c r="U16" s="3">
        <f t="shared" si="4"/>
        <v>3</v>
      </c>
      <c r="V16" s="3">
        <f t="shared" si="4"/>
        <v>3</v>
      </c>
      <c r="W16" s="3">
        <f t="shared" si="4"/>
        <v>3</v>
      </c>
      <c r="X16" s="3">
        <f t="shared" si="4"/>
        <v>3</v>
      </c>
      <c r="Y16" s="3">
        <f t="shared" si="4"/>
        <v>3</v>
      </c>
      <c r="Z16" s="3">
        <f t="shared" si="4"/>
        <v>3</v>
      </c>
      <c r="AA16" s="3">
        <f t="shared" si="4"/>
        <v>3</v>
      </c>
      <c r="AB16" s="3">
        <f t="shared" si="4"/>
        <v>3</v>
      </c>
      <c r="AC16" s="3">
        <f t="shared" si="4"/>
        <v>3</v>
      </c>
      <c r="AD16" s="3">
        <f t="shared" si="3"/>
        <v>3</v>
      </c>
      <c r="AE16" s="3">
        <f t="shared" si="3"/>
        <v>3</v>
      </c>
    </row>
    <row r="17" spans="1:31" s="1" customFormat="1" ht="13.5" x14ac:dyDescent="0.25">
      <c r="A17" s="148" t="s">
        <v>62</v>
      </c>
      <c r="B17" s="154">
        <f>'Założenia-dane wejściowe '!C335</f>
        <v>815.04</v>
      </c>
      <c r="C17" s="154">
        <f>B17</f>
        <v>815.04</v>
      </c>
      <c r="D17" s="154">
        <f t="shared" si="4"/>
        <v>815.04</v>
      </c>
      <c r="E17" s="154">
        <f t="shared" si="4"/>
        <v>815.04</v>
      </c>
      <c r="F17" s="154">
        <f t="shared" si="4"/>
        <v>815.04</v>
      </c>
      <c r="G17" s="154">
        <f t="shared" si="4"/>
        <v>815.04</v>
      </c>
      <c r="H17" s="154">
        <f t="shared" si="4"/>
        <v>815.04</v>
      </c>
      <c r="I17" s="154">
        <f t="shared" si="4"/>
        <v>815.04</v>
      </c>
      <c r="J17" s="154">
        <f t="shared" si="4"/>
        <v>815.04</v>
      </c>
      <c r="K17" s="154">
        <f t="shared" si="4"/>
        <v>815.04</v>
      </c>
      <c r="L17" s="154">
        <f t="shared" si="4"/>
        <v>815.04</v>
      </c>
      <c r="M17" s="154">
        <f t="shared" si="4"/>
        <v>815.04</v>
      </c>
      <c r="N17" s="154">
        <f t="shared" si="4"/>
        <v>815.04</v>
      </c>
      <c r="O17" s="154">
        <f t="shared" si="4"/>
        <v>815.04</v>
      </c>
      <c r="P17" s="154">
        <f t="shared" si="4"/>
        <v>815.04</v>
      </c>
      <c r="Q17" s="154">
        <f t="shared" si="4"/>
        <v>815.04</v>
      </c>
      <c r="R17" s="154">
        <f t="shared" si="4"/>
        <v>815.04</v>
      </c>
      <c r="S17" s="154">
        <f t="shared" si="4"/>
        <v>815.04</v>
      </c>
      <c r="T17" s="154">
        <f t="shared" si="4"/>
        <v>815.04</v>
      </c>
      <c r="U17" s="154">
        <f t="shared" si="4"/>
        <v>815.04</v>
      </c>
      <c r="V17" s="154">
        <f t="shared" si="4"/>
        <v>815.04</v>
      </c>
      <c r="W17" s="154">
        <f t="shared" si="4"/>
        <v>815.04</v>
      </c>
      <c r="X17" s="154">
        <f t="shared" si="4"/>
        <v>815.04</v>
      </c>
      <c r="Y17" s="154">
        <f t="shared" si="4"/>
        <v>815.04</v>
      </c>
      <c r="Z17" s="154">
        <f t="shared" si="4"/>
        <v>815.04</v>
      </c>
      <c r="AA17" s="154">
        <f t="shared" si="4"/>
        <v>815.04</v>
      </c>
      <c r="AB17" s="154">
        <f t="shared" si="4"/>
        <v>815.04</v>
      </c>
      <c r="AC17" s="154">
        <f t="shared" si="4"/>
        <v>815.04</v>
      </c>
      <c r="AD17" s="154">
        <f t="shared" si="3"/>
        <v>815.04</v>
      </c>
      <c r="AE17" s="154">
        <f t="shared" si="3"/>
        <v>815.04</v>
      </c>
    </row>
    <row r="18" spans="1:31" s="1" customFormat="1" ht="13.5" x14ac:dyDescent="0.25">
      <c r="A18" s="148" t="s">
        <v>63</v>
      </c>
      <c r="B18" s="3">
        <f>'Założenia-dane wejściowe '!C336</f>
        <v>9</v>
      </c>
      <c r="C18" s="3">
        <f>B18</f>
        <v>9</v>
      </c>
      <c r="D18" s="3">
        <f t="shared" si="4"/>
        <v>9</v>
      </c>
      <c r="E18" s="3">
        <f t="shared" si="4"/>
        <v>9</v>
      </c>
      <c r="F18" s="3">
        <f t="shared" si="4"/>
        <v>9</v>
      </c>
      <c r="G18" s="3">
        <f t="shared" si="4"/>
        <v>9</v>
      </c>
      <c r="H18" s="3">
        <f t="shared" si="4"/>
        <v>9</v>
      </c>
      <c r="I18" s="3">
        <f t="shared" si="4"/>
        <v>9</v>
      </c>
      <c r="J18" s="3">
        <f t="shared" si="4"/>
        <v>9</v>
      </c>
      <c r="K18" s="3">
        <f t="shared" si="4"/>
        <v>9</v>
      </c>
      <c r="L18" s="3">
        <f t="shared" si="4"/>
        <v>9</v>
      </c>
      <c r="M18" s="3">
        <f t="shared" si="4"/>
        <v>9</v>
      </c>
      <c r="N18" s="3">
        <f t="shared" si="4"/>
        <v>9</v>
      </c>
      <c r="O18" s="3">
        <f t="shared" si="4"/>
        <v>9</v>
      </c>
      <c r="P18" s="3">
        <f t="shared" si="4"/>
        <v>9</v>
      </c>
      <c r="Q18" s="3">
        <f t="shared" si="4"/>
        <v>9</v>
      </c>
      <c r="R18" s="3">
        <f t="shared" si="4"/>
        <v>9</v>
      </c>
      <c r="S18" s="3">
        <f t="shared" si="4"/>
        <v>9</v>
      </c>
      <c r="T18" s="3">
        <f t="shared" si="4"/>
        <v>9</v>
      </c>
      <c r="U18" s="3">
        <f t="shared" si="4"/>
        <v>9</v>
      </c>
      <c r="V18" s="3">
        <f t="shared" si="4"/>
        <v>9</v>
      </c>
      <c r="W18" s="3">
        <f t="shared" si="4"/>
        <v>9</v>
      </c>
      <c r="X18" s="3">
        <f t="shared" si="4"/>
        <v>9</v>
      </c>
      <c r="Y18" s="3">
        <f t="shared" si="4"/>
        <v>9</v>
      </c>
      <c r="Z18" s="3">
        <f t="shared" si="4"/>
        <v>9</v>
      </c>
      <c r="AA18" s="3">
        <f t="shared" si="4"/>
        <v>9</v>
      </c>
      <c r="AB18" s="3">
        <f t="shared" si="4"/>
        <v>9</v>
      </c>
      <c r="AC18" s="3">
        <f t="shared" si="4"/>
        <v>9</v>
      </c>
      <c r="AD18" s="3">
        <f t="shared" si="3"/>
        <v>9</v>
      </c>
      <c r="AE18" s="3">
        <f t="shared" si="3"/>
        <v>9</v>
      </c>
    </row>
    <row r="19" spans="1:31" s="1" customFormat="1" ht="15" customHeight="1" x14ac:dyDescent="0.25">
      <c r="A19" s="277" t="s">
        <v>104</v>
      </c>
      <c r="B19" s="278">
        <f>B14*(B15*B16+B17*B18)</f>
        <v>26123250</v>
      </c>
      <c r="C19" s="278">
        <f t="shared" ref="C19:AC19" si="5">C14*(C15*C16+C17*C18)</f>
        <v>8359439.9999999991</v>
      </c>
      <c r="D19" s="278">
        <f t="shared" si="5"/>
        <v>15673949.999999998</v>
      </c>
      <c r="E19" s="278">
        <f t="shared" si="5"/>
        <v>5224650</v>
      </c>
      <c r="F19" s="278">
        <f t="shared" si="5"/>
        <v>1044929.9999999999</v>
      </c>
      <c r="G19" s="278">
        <f t="shared" si="5"/>
        <v>522464.99999999994</v>
      </c>
      <c r="H19" s="278">
        <f t="shared" si="5"/>
        <v>417972</v>
      </c>
      <c r="I19" s="278">
        <f t="shared" si="5"/>
        <v>0</v>
      </c>
      <c r="J19" s="278">
        <f t="shared" si="5"/>
        <v>0</v>
      </c>
      <c r="K19" s="278">
        <f t="shared" si="5"/>
        <v>0</v>
      </c>
      <c r="L19" s="278">
        <f t="shared" si="5"/>
        <v>0</v>
      </c>
      <c r="M19" s="278">
        <f t="shared" si="5"/>
        <v>0</v>
      </c>
      <c r="N19" s="278">
        <f t="shared" si="5"/>
        <v>0</v>
      </c>
      <c r="O19" s="278">
        <f t="shared" si="5"/>
        <v>0</v>
      </c>
      <c r="P19" s="278">
        <f t="shared" si="5"/>
        <v>0</v>
      </c>
      <c r="Q19" s="278">
        <f t="shared" si="5"/>
        <v>0</v>
      </c>
      <c r="R19" s="278">
        <f t="shared" si="5"/>
        <v>0</v>
      </c>
      <c r="S19" s="278">
        <f t="shared" si="5"/>
        <v>0</v>
      </c>
      <c r="T19" s="278">
        <f t="shared" si="5"/>
        <v>0</v>
      </c>
      <c r="U19" s="278">
        <f t="shared" si="5"/>
        <v>0</v>
      </c>
      <c r="V19" s="278">
        <f t="shared" si="5"/>
        <v>0</v>
      </c>
      <c r="W19" s="278">
        <f t="shared" si="5"/>
        <v>0</v>
      </c>
      <c r="X19" s="278">
        <f t="shared" si="5"/>
        <v>0</v>
      </c>
      <c r="Y19" s="278">
        <f t="shared" si="5"/>
        <v>0</v>
      </c>
      <c r="Z19" s="278">
        <f t="shared" si="5"/>
        <v>0</v>
      </c>
      <c r="AA19" s="278">
        <f t="shared" si="5"/>
        <v>0</v>
      </c>
      <c r="AB19" s="278">
        <f t="shared" si="5"/>
        <v>0</v>
      </c>
      <c r="AC19" s="278">
        <f t="shared" si="5"/>
        <v>0</v>
      </c>
      <c r="AD19" s="278">
        <f>AD14*(AD15*AD16+AD17*AD18)</f>
        <v>0</v>
      </c>
      <c r="AE19" s="278">
        <f>AE14*(AE15*AE16+AE17*AE18)</f>
        <v>0</v>
      </c>
    </row>
    <row r="20" spans="1:31" s="1" customFormat="1" ht="15" customHeight="1" x14ac:dyDescent="0.25">
      <c r="A20" s="148" t="str">
        <f>A14</f>
        <v>ilość nowych miejsc pracy</v>
      </c>
      <c r="B20" s="3">
        <f>'Założenia-dane wejściowe '!C332</f>
        <v>2500</v>
      </c>
      <c r="C20" s="3">
        <f>B20+'Założenia-dane wejściowe '!D332</f>
        <v>3300</v>
      </c>
      <c r="D20" s="3">
        <f>C20+'Założenia-dane wejściowe '!E332</f>
        <v>4800</v>
      </c>
      <c r="E20" s="3">
        <f>D20+'Założenia-dane wejściowe '!F332</f>
        <v>5300</v>
      </c>
      <c r="F20" s="3">
        <f>E20+'Założenia-dane wejściowe '!G332</f>
        <v>5400</v>
      </c>
      <c r="G20" s="3">
        <f>F20+'Założenia-dane wejściowe '!H332</f>
        <v>5450</v>
      </c>
      <c r="H20" s="3">
        <f>G20+'Założenia-dane wejściowe '!I332</f>
        <v>5490</v>
      </c>
      <c r="I20" s="3">
        <f>H20+'Założenia-dane wejściowe '!J332</f>
        <v>5490</v>
      </c>
      <c r="J20" s="3">
        <f>I20+'Założenia-dane wejściowe '!K332</f>
        <v>5490</v>
      </c>
      <c r="K20" s="3">
        <f>J20+'Założenia-dane wejściowe '!L332</f>
        <v>5490</v>
      </c>
      <c r="L20" s="3">
        <f>K20+'Założenia-dane wejściowe '!M332</f>
        <v>5490</v>
      </c>
      <c r="M20" s="3">
        <f>L20+'Założenia-dane wejściowe '!N332</f>
        <v>5490</v>
      </c>
      <c r="N20" s="3">
        <f>M20+'Założenia-dane wejściowe '!O332</f>
        <v>5490</v>
      </c>
      <c r="O20" s="3">
        <f>N20+'Założenia-dane wejściowe '!P332</f>
        <v>5490</v>
      </c>
      <c r="P20" s="3">
        <f>O20+'Założenia-dane wejściowe '!Q332</f>
        <v>5490</v>
      </c>
      <c r="Q20" s="3">
        <f>P20+'Założenia-dane wejściowe '!R332</f>
        <v>5490</v>
      </c>
      <c r="R20" s="3">
        <f>Q20+'Założenia-dane wejściowe '!S332</f>
        <v>5490</v>
      </c>
      <c r="S20" s="3">
        <f>R20+'Założenia-dane wejściowe '!T332</f>
        <v>5490</v>
      </c>
      <c r="T20" s="3">
        <f>S20+'Założenia-dane wejściowe '!U332</f>
        <v>5490</v>
      </c>
      <c r="U20" s="3">
        <f>T20+'Założenia-dane wejściowe '!V332</f>
        <v>5490</v>
      </c>
      <c r="V20" s="3">
        <f>U20+'Założenia-dane wejściowe '!W332</f>
        <v>5490</v>
      </c>
      <c r="W20" s="3">
        <f>V20+'Założenia-dane wejściowe '!X332</f>
        <v>5490</v>
      </c>
      <c r="X20" s="3">
        <f>W20+'Założenia-dane wejściowe '!Y332</f>
        <v>5490</v>
      </c>
      <c r="Y20" s="3">
        <f>X20+'Założenia-dane wejściowe '!Z332</f>
        <v>5490</v>
      </c>
      <c r="Z20" s="3">
        <f>Y20+'Założenia-dane wejściowe '!AA332</f>
        <v>5490</v>
      </c>
      <c r="AA20" s="3">
        <f>Z20+'Założenia-dane wejściowe '!AB332</f>
        <v>5490</v>
      </c>
      <c r="AB20" s="3">
        <f>AA20+'Założenia-dane wejściowe '!AC332</f>
        <v>5490</v>
      </c>
      <c r="AC20" s="3">
        <f>AB20+'Założenia-dane wejściowe '!AD332</f>
        <v>5490</v>
      </c>
      <c r="AD20" s="3">
        <f>AC20+'Założenia-dane wejściowe '!AE332</f>
        <v>5490</v>
      </c>
      <c r="AE20" s="3">
        <f>AD20+'Założenia-dane wejściowe '!AF332</f>
        <v>5490</v>
      </c>
    </row>
    <row r="21" spans="1:31" s="1" customFormat="1" ht="15" customHeight="1" x14ac:dyDescent="0.25">
      <c r="A21" s="148" t="str">
        <f>'Założenia-dane wejściowe '!B337</f>
        <v>minimalne wynagrodzenie netto</v>
      </c>
      <c r="B21" s="149">
        <f>'Założenia-dane wejściowe '!C337</f>
        <v>2200</v>
      </c>
      <c r="C21" s="3">
        <f>B21</f>
        <v>2200</v>
      </c>
      <c r="D21" s="3">
        <f>C21</f>
        <v>2200</v>
      </c>
      <c r="E21" s="3">
        <f t="shared" ref="E21:AC21" si="6">D21</f>
        <v>2200</v>
      </c>
      <c r="F21" s="3">
        <f t="shared" si="6"/>
        <v>2200</v>
      </c>
      <c r="G21" s="3">
        <f t="shared" si="6"/>
        <v>2200</v>
      </c>
      <c r="H21" s="3">
        <f t="shared" si="6"/>
        <v>2200</v>
      </c>
      <c r="I21" s="3">
        <f t="shared" si="6"/>
        <v>2200</v>
      </c>
      <c r="J21" s="3">
        <f t="shared" si="6"/>
        <v>2200</v>
      </c>
      <c r="K21" s="3">
        <f t="shared" si="6"/>
        <v>2200</v>
      </c>
      <c r="L21" s="3">
        <f t="shared" si="6"/>
        <v>2200</v>
      </c>
      <c r="M21" s="3">
        <f t="shared" si="6"/>
        <v>2200</v>
      </c>
      <c r="N21" s="3">
        <f t="shared" si="6"/>
        <v>2200</v>
      </c>
      <c r="O21" s="3">
        <f t="shared" si="6"/>
        <v>2200</v>
      </c>
      <c r="P21" s="3">
        <f t="shared" si="6"/>
        <v>2200</v>
      </c>
      <c r="Q21" s="3">
        <f t="shared" si="6"/>
        <v>2200</v>
      </c>
      <c r="R21" s="3">
        <f t="shared" si="6"/>
        <v>2200</v>
      </c>
      <c r="S21" s="3">
        <f t="shared" si="6"/>
        <v>2200</v>
      </c>
      <c r="T21" s="3">
        <f t="shared" si="6"/>
        <v>2200</v>
      </c>
      <c r="U21" s="3">
        <f t="shared" si="6"/>
        <v>2200</v>
      </c>
      <c r="V21" s="3">
        <f t="shared" si="6"/>
        <v>2200</v>
      </c>
      <c r="W21" s="3">
        <f t="shared" si="6"/>
        <v>2200</v>
      </c>
      <c r="X21" s="3">
        <f t="shared" si="6"/>
        <v>2200</v>
      </c>
      <c r="Y21" s="3">
        <f t="shared" si="6"/>
        <v>2200</v>
      </c>
      <c r="Z21" s="3">
        <f t="shared" si="6"/>
        <v>2200</v>
      </c>
      <c r="AA21" s="3">
        <f t="shared" si="6"/>
        <v>2200</v>
      </c>
      <c r="AB21" s="3">
        <f t="shared" si="6"/>
        <v>2200</v>
      </c>
      <c r="AC21" s="3">
        <f t="shared" si="6"/>
        <v>2200</v>
      </c>
      <c r="AD21" s="3">
        <f>AC21</f>
        <v>2200</v>
      </c>
      <c r="AE21" s="3">
        <f>AD21</f>
        <v>2200</v>
      </c>
    </row>
    <row r="22" spans="1:31" s="1" customFormat="1" ht="13.5" x14ac:dyDescent="0.25">
      <c r="A22" s="277" t="s">
        <v>105</v>
      </c>
      <c r="B22" s="278">
        <f>B20*B21*12</f>
        <v>66000000</v>
      </c>
      <c r="C22" s="278">
        <f>C20*C21*12</f>
        <v>87120000</v>
      </c>
      <c r="D22" s="278">
        <f t="shared" ref="D22:AC22" si="7">D20*D21*12</f>
        <v>126720000</v>
      </c>
      <c r="E22" s="278">
        <f t="shared" si="7"/>
        <v>139920000</v>
      </c>
      <c r="F22" s="278">
        <f t="shared" si="7"/>
        <v>142560000</v>
      </c>
      <c r="G22" s="278">
        <f t="shared" si="7"/>
        <v>143880000</v>
      </c>
      <c r="H22" s="278">
        <f t="shared" si="7"/>
        <v>144936000</v>
      </c>
      <c r="I22" s="278">
        <f t="shared" si="7"/>
        <v>144936000</v>
      </c>
      <c r="J22" s="278">
        <f t="shared" si="7"/>
        <v>144936000</v>
      </c>
      <c r="K22" s="278">
        <f t="shared" si="7"/>
        <v>144936000</v>
      </c>
      <c r="L22" s="278">
        <f t="shared" si="7"/>
        <v>144936000</v>
      </c>
      <c r="M22" s="278">
        <f t="shared" si="7"/>
        <v>144936000</v>
      </c>
      <c r="N22" s="278">
        <f t="shared" si="7"/>
        <v>144936000</v>
      </c>
      <c r="O22" s="278">
        <f t="shared" si="7"/>
        <v>144936000</v>
      </c>
      <c r="P22" s="278">
        <f t="shared" si="7"/>
        <v>144936000</v>
      </c>
      <c r="Q22" s="278">
        <f t="shared" si="7"/>
        <v>144936000</v>
      </c>
      <c r="R22" s="278">
        <f t="shared" si="7"/>
        <v>144936000</v>
      </c>
      <c r="S22" s="278">
        <f t="shared" si="7"/>
        <v>144936000</v>
      </c>
      <c r="T22" s="278">
        <f t="shared" si="7"/>
        <v>144936000</v>
      </c>
      <c r="U22" s="278">
        <f t="shared" si="7"/>
        <v>144936000</v>
      </c>
      <c r="V22" s="278">
        <f t="shared" si="7"/>
        <v>144936000</v>
      </c>
      <c r="W22" s="278">
        <f t="shared" si="7"/>
        <v>144936000</v>
      </c>
      <c r="X22" s="278">
        <f t="shared" si="7"/>
        <v>144936000</v>
      </c>
      <c r="Y22" s="278">
        <f t="shared" si="7"/>
        <v>144936000</v>
      </c>
      <c r="Z22" s="278">
        <f t="shared" si="7"/>
        <v>144936000</v>
      </c>
      <c r="AA22" s="278">
        <f t="shared" si="7"/>
        <v>144936000</v>
      </c>
      <c r="AB22" s="278">
        <f t="shared" si="7"/>
        <v>144936000</v>
      </c>
      <c r="AC22" s="278">
        <f t="shared" si="7"/>
        <v>144936000</v>
      </c>
      <c r="AD22" s="278">
        <f>AD20*AD21*12</f>
        <v>144936000</v>
      </c>
      <c r="AE22" s="278">
        <f>AE20*AE21*12</f>
        <v>144936000</v>
      </c>
    </row>
    <row r="23" spans="1:31" s="1" customFormat="1" ht="13.5" x14ac:dyDescent="0.25">
      <c r="A23" s="160" t="s">
        <v>65</v>
      </c>
      <c r="B23" s="279">
        <f>B24*B25</f>
        <v>50000000</v>
      </c>
      <c r="C23" s="279">
        <f t="shared" ref="C23:AC23" si="8">C24*C25</f>
        <v>70000000</v>
      </c>
      <c r="D23" s="279">
        <f t="shared" si="8"/>
        <v>95000000</v>
      </c>
      <c r="E23" s="279">
        <f t="shared" si="8"/>
        <v>105000000</v>
      </c>
      <c r="F23" s="279">
        <f t="shared" si="8"/>
        <v>110000000</v>
      </c>
      <c r="G23" s="279">
        <f t="shared" si="8"/>
        <v>113000000</v>
      </c>
      <c r="H23" s="279">
        <f t="shared" si="8"/>
        <v>115000000</v>
      </c>
      <c r="I23" s="279">
        <f t="shared" si="8"/>
        <v>115000000</v>
      </c>
      <c r="J23" s="279">
        <f t="shared" si="8"/>
        <v>115000000</v>
      </c>
      <c r="K23" s="279">
        <f t="shared" si="8"/>
        <v>115000000</v>
      </c>
      <c r="L23" s="279">
        <f t="shared" si="8"/>
        <v>115000000</v>
      </c>
      <c r="M23" s="279">
        <f t="shared" si="8"/>
        <v>115000000</v>
      </c>
      <c r="N23" s="279">
        <f t="shared" si="8"/>
        <v>115000000</v>
      </c>
      <c r="O23" s="279">
        <f t="shared" si="8"/>
        <v>115000000</v>
      </c>
      <c r="P23" s="279">
        <f t="shared" si="8"/>
        <v>115000000</v>
      </c>
      <c r="Q23" s="279">
        <f t="shared" si="8"/>
        <v>115000000</v>
      </c>
      <c r="R23" s="279">
        <f t="shared" si="8"/>
        <v>115000000</v>
      </c>
      <c r="S23" s="279">
        <f t="shared" si="8"/>
        <v>115000000</v>
      </c>
      <c r="T23" s="279">
        <f t="shared" si="8"/>
        <v>115000000</v>
      </c>
      <c r="U23" s="279">
        <f t="shared" si="8"/>
        <v>115000000</v>
      </c>
      <c r="V23" s="279">
        <f t="shared" si="8"/>
        <v>115000000</v>
      </c>
      <c r="W23" s="279">
        <f t="shared" si="8"/>
        <v>115000000</v>
      </c>
      <c r="X23" s="279">
        <f t="shared" si="8"/>
        <v>115000000</v>
      </c>
      <c r="Y23" s="279">
        <f t="shared" si="8"/>
        <v>115000000</v>
      </c>
      <c r="Z23" s="279">
        <f t="shared" si="8"/>
        <v>115000000</v>
      </c>
      <c r="AA23" s="279">
        <f t="shared" si="8"/>
        <v>115000000</v>
      </c>
      <c r="AB23" s="279">
        <f t="shared" si="8"/>
        <v>115000000</v>
      </c>
      <c r="AC23" s="279">
        <f t="shared" si="8"/>
        <v>115000000</v>
      </c>
      <c r="AD23" s="279">
        <f>AD24*AD25</f>
        <v>115000000</v>
      </c>
      <c r="AE23" s="279">
        <f>AE24*AE25</f>
        <v>115000000</v>
      </c>
    </row>
    <row r="24" spans="1:31" s="1" customFormat="1" ht="13.5" x14ac:dyDescent="0.25">
      <c r="A24" s="159" t="s">
        <v>66</v>
      </c>
      <c r="B24" s="149">
        <f>'Założenia-dane wejściowe '!C339</f>
        <v>50</v>
      </c>
      <c r="C24" s="149">
        <f>B24+'Założenia-dane wejściowe '!D339</f>
        <v>70</v>
      </c>
      <c r="D24" s="149">
        <f>C24+'Założenia-dane wejściowe '!E339</f>
        <v>95</v>
      </c>
      <c r="E24" s="149">
        <f>D24+'Założenia-dane wejściowe '!F339</f>
        <v>105</v>
      </c>
      <c r="F24" s="149">
        <f>E24+'Założenia-dane wejściowe '!G339</f>
        <v>110</v>
      </c>
      <c r="G24" s="149">
        <f>F24+'Założenia-dane wejściowe '!H339</f>
        <v>113</v>
      </c>
      <c r="H24" s="149">
        <f>G24+'Założenia-dane wejściowe '!I339</f>
        <v>115</v>
      </c>
      <c r="I24" s="149">
        <f>H24+'Założenia-dane wejściowe '!J339</f>
        <v>115</v>
      </c>
      <c r="J24" s="149">
        <f>I24+'Założenia-dane wejściowe '!K339</f>
        <v>115</v>
      </c>
      <c r="K24" s="149">
        <f>J24+'Założenia-dane wejściowe '!L339</f>
        <v>115</v>
      </c>
      <c r="L24" s="149">
        <f>K24+'Założenia-dane wejściowe '!M339</f>
        <v>115</v>
      </c>
      <c r="M24" s="149">
        <f>L24+'Założenia-dane wejściowe '!N339</f>
        <v>115</v>
      </c>
      <c r="N24" s="149">
        <f>M24+'Założenia-dane wejściowe '!O339</f>
        <v>115</v>
      </c>
      <c r="O24" s="149">
        <f>N24+'Założenia-dane wejściowe '!P339</f>
        <v>115</v>
      </c>
      <c r="P24" s="149">
        <f>O24+'Założenia-dane wejściowe '!Q339</f>
        <v>115</v>
      </c>
      <c r="Q24" s="149">
        <f>P24+'Założenia-dane wejściowe '!R339</f>
        <v>115</v>
      </c>
      <c r="R24" s="149">
        <f>Q24+'Założenia-dane wejściowe '!S339</f>
        <v>115</v>
      </c>
      <c r="S24" s="149">
        <f>R24+'Założenia-dane wejściowe '!T339</f>
        <v>115</v>
      </c>
      <c r="T24" s="149">
        <f>S24+'Założenia-dane wejściowe '!U339</f>
        <v>115</v>
      </c>
      <c r="U24" s="149">
        <f>T24+'Założenia-dane wejściowe '!V339</f>
        <v>115</v>
      </c>
      <c r="V24" s="149">
        <f>U24+'Założenia-dane wejściowe '!W339</f>
        <v>115</v>
      </c>
      <c r="W24" s="149">
        <f>V24+'Założenia-dane wejściowe '!X339</f>
        <v>115</v>
      </c>
      <c r="X24" s="149">
        <f>W24+'Założenia-dane wejściowe '!Y339</f>
        <v>115</v>
      </c>
      <c r="Y24" s="149">
        <f>X24+'Założenia-dane wejściowe '!Z339</f>
        <v>115</v>
      </c>
      <c r="Z24" s="149">
        <f>Y24+'Założenia-dane wejściowe '!AA339</f>
        <v>115</v>
      </c>
      <c r="AA24" s="149">
        <f>Z24+'Założenia-dane wejściowe '!AB339</f>
        <v>115</v>
      </c>
      <c r="AB24" s="149">
        <f>AA24+'Założenia-dane wejściowe '!AC339</f>
        <v>115</v>
      </c>
      <c r="AC24" s="149">
        <f>AB24+'Założenia-dane wejściowe '!AD339</f>
        <v>115</v>
      </c>
      <c r="AD24" s="149">
        <f>AC24+'Założenia-dane wejściowe '!AE339</f>
        <v>115</v>
      </c>
      <c r="AE24" s="149">
        <f>AD24+'Założenia-dane wejściowe '!AF339</f>
        <v>115</v>
      </c>
    </row>
    <row r="25" spans="1:31" s="1" customFormat="1" ht="13.5" x14ac:dyDescent="0.25">
      <c r="A25" s="159" t="s">
        <v>67</v>
      </c>
      <c r="B25" s="149">
        <f>'Założenia-dane wejściowe '!C340</f>
        <v>1000000</v>
      </c>
      <c r="C25" s="149">
        <f>B25</f>
        <v>1000000</v>
      </c>
      <c r="D25" s="149">
        <f>C25</f>
        <v>1000000</v>
      </c>
      <c r="E25" s="149">
        <f>D25</f>
        <v>1000000</v>
      </c>
      <c r="F25" s="149">
        <f t="shared" ref="F25:U25" si="9">E25</f>
        <v>1000000</v>
      </c>
      <c r="G25" s="149">
        <f t="shared" si="9"/>
        <v>1000000</v>
      </c>
      <c r="H25" s="149">
        <f t="shared" si="9"/>
        <v>1000000</v>
      </c>
      <c r="I25" s="149">
        <f t="shared" si="9"/>
        <v>1000000</v>
      </c>
      <c r="J25" s="149">
        <f t="shared" si="9"/>
        <v>1000000</v>
      </c>
      <c r="K25" s="149">
        <f t="shared" si="9"/>
        <v>1000000</v>
      </c>
      <c r="L25" s="149">
        <f t="shared" si="9"/>
        <v>1000000</v>
      </c>
      <c r="M25" s="149">
        <f t="shared" si="9"/>
        <v>1000000</v>
      </c>
      <c r="N25" s="149">
        <f t="shared" si="9"/>
        <v>1000000</v>
      </c>
      <c r="O25" s="149">
        <f t="shared" si="9"/>
        <v>1000000</v>
      </c>
      <c r="P25" s="149">
        <f t="shared" si="9"/>
        <v>1000000</v>
      </c>
      <c r="Q25" s="149">
        <f t="shared" si="9"/>
        <v>1000000</v>
      </c>
      <c r="R25" s="149">
        <f t="shared" si="9"/>
        <v>1000000</v>
      </c>
      <c r="S25" s="149">
        <f t="shared" si="9"/>
        <v>1000000</v>
      </c>
      <c r="T25" s="149">
        <f t="shared" si="9"/>
        <v>1000000</v>
      </c>
      <c r="U25" s="149">
        <f t="shared" si="9"/>
        <v>1000000</v>
      </c>
      <c r="V25" s="149">
        <f t="shared" ref="V25" si="10">U25</f>
        <v>1000000</v>
      </c>
      <c r="W25" s="149">
        <f t="shared" ref="W25:AC25" si="11">V25</f>
        <v>1000000</v>
      </c>
      <c r="X25" s="149">
        <f t="shared" si="11"/>
        <v>1000000</v>
      </c>
      <c r="Y25" s="149">
        <f t="shared" si="11"/>
        <v>1000000</v>
      </c>
      <c r="Z25" s="149">
        <f t="shared" si="11"/>
        <v>1000000</v>
      </c>
      <c r="AA25" s="149">
        <f t="shared" si="11"/>
        <v>1000000</v>
      </c>
      <c r="AB25" s="149">
        <f t="shared" si="11"/>
        <v>1000000</v>
      </c>
      <c r="AC25" s="149">
        <f t="shared" si="11"/>
        <v>1000000</v>
      </c>
      <c r="AD25" s="149">
        <f>AC25</f>
        <v>1000000</v>
      </c>
      <c r="AE25" s="149">
        <f>AD25</f>
        <v>1000000</v>
      </c>
    </row>
    <row r="26" spans="1:31" s="1" customFormat="1" ht="27" x14ac:dyDescent="0.25">
      <c r="A26" s="160" t="s">
        <v>68</v>
      </c>
      <c r="B26" s="276">
        <f>B27*B28*B29</f>
        <v>20062274.225000001</v>
      </c>
      <c r="C26" s="276">
        <f t="shared" ref="C26:AC26" si="12">C27*C28*C29</f>
        <v>20062274.225000001</v>
      </c>
      <c r="D26" s="276">
        <f t="shared" si="12"/>
        <v>20062274.225000001</v>
      </c>
      <c r="E26" s="276">
        <f t="shared" si="12"/>
        <v>20062274.225000001</v>
      </c>
      <c r="F26" s="276">
        <f t="shared" si="12"/>
        <v>20062274.225000001</v>
      </c>
      <c r="G26" s="276">
        <f t="shared" si="12"/>
        <v>20062274.225000001</v>
      </c>
      <c r="H26" s="276">
        <f t="shared" si="12"/>
        <v>20062274.225000001</v>
      </c>
      <c r="I26" s="276">
        <f t="shared" si="12"/>
        <v>20062274.225000001</v>
      </c>
      <c r="J26" s="276">
        <f t="shared" si="12"/>
        <v>20062274.225000001</v>
      </c>
      <c r="K26" s="276">
        <f t="shared" si="12"/>
        <v>20062274.225000001</v>
      </c>
      <c r="L26" s="276">
        <f t="shared" si="12"/>
        <v>20062274.225000001</v>
      </c>
      <c r="M26" s="276">
        <f t="shared" si="12"/>
        <v>20062274.225000001</v>
      </c>
      <c r="N26" s="276">
        <f t="shared" si="12"/>
        <v>20062274.225000001</v>
      </c>
      <c r="O26" s="276">
        <f t="shared" si="12"/>
        <v>20062274.225000001</v>
      </c>
      <c r="P26" s="276">
        <f t="shared" si="12"/>
        <v>20062274.225000001</v>
      </c>
      <c r="Q26" s="276">
        <f t="shared" si="12"/>
        <v>20062274.225000001</v>
      </c>
      <c r="R26" s="276">
        <f t="shared" si="12"/>
        <v>20062274.225000001</v>
      </c>
      <c r="S26" s="276">
        <f t="shared" si="12"/>
        <v>20062274.225000001</v>
      </c>
      <c r="T26" s="276">
        <f t="shared" si="12"/>
        <v>20062274.225000001</v>
      </c>
      <c r="U26" s="276">
        <f t="shared" si="12"/>
        <v>20062274.225000001</v>
      </c>
      <c r="V26" s="276">
        <f t="shared" si="12"/>
        <v>20062274.225000001</v>
      </c>
      <c r="W26" s="276">
        <f t="shared" si="12"/>
        <v>20062274.225000001</v>
      </c>
      <c r="X26" s="276">
        <f t="shared" si="12"/>
        <v>20062274.225000001</v>
      </c>
      <c r="Y26" s="276">
        <f t="shared" si="12"/>
        <v>20062274.225000001</v>
      </c>
      <c r="Z26" s="276">
        <f t="shared" si="12"/>
        <v>0</v>
      </c>
      <c r="AA26" s="276">
        <f t="shared" si="12"/>
        <v>0</v>
      </c>
      <c r="AB26" s="276">
        <f t="shared" si="12"/>
        <v>0</v>
      </c>
      <c r="AC26" s="276">
        <f t="shared" si="12"/>
        <v>0</v>
      </c>
      <c r="AD26" s="276">
        <f>AD27*AD28*AD29</f>
        <v>0</v>
      </c>
      <c r="AE26" s="276">
        <f>AE27*AE28*AE29</f>
        <v>0</v>
      </c>
    </row>
    <row r="27" spans="1:31" s="1" customFormat="1" ht="13.5" x14ac:dyDescent="0.25">
      <c r="A27" s="161" t="s">
        <v>69</v>
      </c>
      <c r="B27" s="149">
        <f>'Założenia-dane wejściowe '!C342</f>
        <v>1821.5</v>
      </c>
      <c r="C27" s="149">
        <f>B27</f>
        <v>1821.5</v>
      </c>
      <c r="D27" s="149">
        <f t="shared" ref="D27:S28" si="13">C27</f>
        <v>1821.5</v>
      </c>
      <c r="E27" s="149">
        <f t="shared" si="13"/>
        <v>1821.5</v>
      </c>
      <c r="F27" s="149">
        <f t="shared" si="13"/>
        <v>1821.5</v>
      </c>
      <c r="G27" s="149">
        <f t="shared" si="13"/>
        <v>1821.5</v>
      </c>
      <c r="H27" s="149">
        <f t="shared" si="13"/>
        <v>1821.5</v>
      </c>
      <c r="I27" s="149">
        <f t="shared" si="13"/>
        <v>1821.5</v>
      </c>
      <c r="J27" s="149">
        <f t="shared" si="13"/>
        <v>1821.5</v>
      </c>
      <c r="K27" s="149">
        <f t="shared" si="13"/>
        <v>1821.5</v>
      </c>
      <c r="L27" s="149">
        <f t="shared" si="13"/>
        <v>1821.5</v>
      </c>
      <c r="M27" s="149">
        <f t="shared" si="13"/>
        <v>1821.5</v>
      </c>
      <c r="N27" s="149">
        <f t="shared" si="13"/>
        <v>1821.5</v>
      </c>
      <c r="O27" s="149">
        <f t="shared" si="13"/>
        <v>1821.5</v>
      </c>
      <c r="P27" s="149">
        <f t="shared" si="13"/>
        <v>1821.5</v>
      </c>
      <c r="Q27" s="149">
        <f t="shared" si="13"/>
        <v>1821.5</v>
      </c>
      <c r="R27" s="149">
        <f t="shared" si="13"/>
        <v>1821.5</v>
      </c>
      <c r="S27" s="149">
        <f t="shared" si="13"/>
        <v>1821.5</v>
      </c>
      <c r="T27" s="149">
        <f t="shared" ref="T27:AC28" si="14">S27</f>
        <v>1821.5</v>
      </c>
      <c r="U27" s="149">
        <f t="shared" si="14"/>
        <v>1821.5</v>
      </c>
      <c r="V27" s="149">
        <f t="shared" si="14"/>
        <v>1821.5</v>
      </c>
      <c r="W27" s="149">
        <f t="shared" si="14"/>
        <v>1821.5</v>
      </c>
      <c r="X27" s="149">
        <f t="shared" si="14"/>
        <v>1821.5</v>
      </c>
      <c r="Y27" s="149">
        <f t="shared" si="14"/>
        <v>1821.5</v>
      </c>
      <c r="Z27" s="149">
        <f t="shared" si="14"/>
        <v>1821.5</v>
      </c>
      <c r="AA27" s="149">
        <f t="shared" si="14"/>
        <v>1821.5</v>
      </c>
      <c r="AB27" s="149">
        <f t="shared" si="14"/>
        <v>1821.5</v>
      </c>
      <c r="AC27" s="149">
        <f t="shared" si="14"/>
        <v>1821.5</v>
      </c>
      <c r="AD27" s="149">
        <f>AC27</f>
        <v>1821.5</v>
      </c>
      <c r="AE27" s="149">
        <f>AD27</f>
        <v>1821.5</v>
      </c>
    </row>
    <row r="28" spans="1:31" s="51" customFormat="1" ht="39.75" customHeight="1" x14ac:dyDescent="0.25">
      <c r="A28" s="161" t="s">
        <v>106</v>
      </c>
      <c r="B28" s="231">
        <f>'Założenia-dane wejściowe '!C343</f>
        <v>3.5000000000000003E-2</v>
      </c>
      <c r="C28" s="231">
        <f>B28</f>
        <v>3.5000000000000003E-2</v>
      </c>
      <c r="D28" s="231">
        <f t="shared" si="13"/>
        <v>3.5000000000000003E-2</v>
      </c>
      <c r="E28" s="231">
        <f t="shared" si="13"/>
        <v>3.5000000000000003E-2</v>
      </c>
      <c r="F28" s="231">
        <f t="shared" si="13"/>
        <v>3.5000000000000003E-2</v>
      </c>
      <c r="G28" s="231">
        <f t="shared" si="13"/>
        <v>3.5000000000000003E-2</v>
      </c>
      <c r="H28" s="231">
        <f t="shared" si="13"/>
        <v>3.5000000000000003E-2</v>
      </c>
      <c r="I28" s="231">
        <f t="shared" si="13"/>
        <v>3.5000000000000003E-2</v>
      </c>
      <c r="J28" s="231">
        <f t="shared" si="13"/>
        <v>3.5000000000000003E-2</v>
      </c>
      <c r="K28" s="231">
        <f t="shared" si="13"/>
        <v>3.5000000000000003E-2</v>
      </c>
      <c r="L28" s="231">
        <f t="shared" si="13"/>
        <v>3.5000000000000003E-2</v>
      </c>
      <c r="M28" s="231">
        <f t="shared" si="13"/>
        <v>3.5000000000000003E-2</v>
      </c>
      <c r="N28" s="231">
        <f t="shared" si="13"/>
        <v>3.5000000000000003E-2</v>
      </c>
      <c r="O28" s="231">
        <f t="shared" si="13"/>
        <v>3.5000000000000003E-2</v>
      </c>
      <c r="P28" s="231">
        <f t="shared" si="13"/>
        <v>3.5000000000000003E-2</v>
      </c>
      <c r="Q28" s="231">
        <f t="shared" si="13"/>
        <v>3.5000000000000003E-2</v>
      </c>
      <c r="R28" s="231">
        <f t="shared" si="13"/>
        <v>3.5000000000000003E-2</v>
      </c>
      <c r="S28" s="231">
        <f t="shared" si="13"/>
        <v>3.5000000000000003E-2</v>
      </c>
      <c r="T28" s="231">
        <f t="shared" si="14"/>
        <v>3.5000000000000003E-2</v>
      </c>
      <c r="U28" s="231">
        <f t="shared" si="14"/>
        <v>3.5000000000000003E-2</v>
      </c>
      <c r="V28" s="231">
        <f t="shared" si="14"/>
        <v>3.5000000000000003E-2</v>
      </c>
      <c r="W28" s="231">
        <f t="shared" si="14"/>
        <v>3.5000000000000003E-2</v>
      </c>
      <c r="X28" s="231">
        <f t="shared" si="14"/>
        <v>3.5000000000000003E-2</v>
      </c>
      <c r="Y28" s="231">
        <f t="shared" si="14"/>
        <v>3.5000000000000003E-2</v>
      </c>
      <c r="Z28" s="231">
        <f t="shared" si="14"/>
        <v>3.5000000000000003E-2</v>
      </c>
      <c r="AA28" s="231">
        <f t="shared" si="14"/>
        <v>3.5000000000000003E-2</v>
      </c>
      <c r="AB28" s="231">
        <f t="shared" si="14"/>
        <v>3.5000000000000003E-2</v>
      </c>
      <c r="AC28" s="231">
        <f t="shared" si="14"/>
        <v>3.5000000000000003E-2</v>
      </c>
      <c r="AD28" s="231">
        <f>AC28</f>
        <v>3.5000000000000003E-2</v>
      </c>
      <c r="AE28" s="231">
        <f>AD28</f>
        <v>3.5000000000000003E-2</v>
      </c>
    </row>
    <row r="29" spans="1:31" s="1" customFormat="1" ht="13.5" x14ac:dyDescent="0.25">
      <c r="A29" s="161" t="s">
        <v>107</v>
      </c>
      <c r="B29" s="149">
        <f>'Założenia-dane wejściowe '!L14</f>
        <v>314690</v>
      </c>
      <c r="C29" s="149">
        <f>'Założenia-dane wejściowe '!M14</f>
        <v>314690</v>
      </c>
      <c r="D29" s="149">
        <f>'Założenia-dane wejściowe '!N14</f>
        <v>314690</v>
      </c>
      <c r="E29" s="149">
        <f>'Założenia-dane wejściowe '!O14</f>
        <v>314690</v>
      </c>
      <c r="F29" s="149">
        <f>'Założenia-dane wejściowe '!P14</f>
        <v>314690</v>
      </c>
      <c r="G29" s="149">
        <f>'Założenia-dane wejściowe '!Q14</f>
        <v>314690</v>
      </c>
      <c r="H29" s="149">
        <f>'Założenia-dane wejściowe '!R14</f>
        <v>314690</v>
      </c>
      <c r="I29" s="149">
        <f>'Założenia-dane wejściowe '!S14</f>
        <v>314690</v>
      </c>
      <c r="J29" s="149">
        <f>'Założenia-dane wejściowe '!T14</f>
        <v>314690</v>
      </c>
      <c r="K29" s="149">
        <f>'Założenia-dane wejściowe '!U14</f>
        <v>314690</v>
      </c>
      <c r="L29" s="149">
        <f>'Założenia-dane wejściowe '!V14</f>
        <v>314690</v>
      </c>
      <c r="M29" s="149">
        <f>'Założenia-dane wejściowe '!W14</f>
        <v>314690</v>
      </c>
      <c r="N29" s="149">
        <f>'Założenia-dane wejściowe '!X14</f>
        <v>314690</v>
      </c>
      <c r="O29" s="149">
        <f>'Założenia-dane wejściowe '!Y14</f>
        <v>314690</v>
      </c>
      <c r="P29" s="149">
        <f>'Założenia-dane wejściowe '!Z14</f>
        <v>314690</v>
      </c>
      <c r="Q29" s="149">
        <f>'Założenia-dane wejściowe '!AA14</f>
        <v>314690</v>
      </c>
      <c r="R29" s="149">
        <f>'Założenia-dane wejściowe '!AB14</f>
        <v>314690</v>
      </c>
      <c r="S29" s="149">
        <f>'Założenia-dane wejściowe '!AC14</f>
        <v>314690</v>
      </c>
      <c r="T29" s="149">
        <f>'Założenia-dane wejściowe '!AD14</f>
        <v>314690</v>
      </c>
      <c r="U29" s="149">
        <f>'Założenia-dane wejściowe '!AE14</f>
        <v>314690</v>
      </c>
      <c r="V29" s="149">
        <f>'Założenia-dane wejściowe '!AF14</f>
        <v>314690</v>
      </c>
      <c r="W29" s="149">
        <f>'Założenia-dane wejściowe '!AG14</f>
        <v>314690</v>
      </c>
      <c r="X29" s="149">
        <f>'Założenia-dane wejściowe '!AH14</f>
        <v>314690</v>
      </c>
      <c r="Y29" s="149">
        <f>'Założenia-dane wejściowe '!AI14</f>
        <v>314690</v>
      </c>
      <c r="Z29" s="149">
        <f>'Założenia-dane wejściowe '!AJ14</f>
        <v>0</v>
      </c>
      <c r="AA29" s="149">
        <f>'Założenia-dane wejściowe '!AK14</f>
        <v>0</v>
      </c>
      <c r="AB29" s="149">
        <f>'Założenia-dane wejściowe '!AL14</f>
        <v>0</v>
      </c>
      <c r="AC29" s="149">
        <f>'Założenia-dane wejściowe '!AM14</f>
        <v>0</v>
      </c>
      <c r="AD29" s="149">
        <f>'Założenia-dane wejściowe '!AN14</f>
        <v>0</v>
      </c>
      <c r="AE29" s="149">
        <f>'Założenia-dane wejściowe '!AO14</f>
        <v>0</v>
      </c>
    </row>
    <row r="30" spans="1:31" s="1" customFormat="1" ht="13.5" x14ac:dyDescent="0.25">
      <c r="A30" s="280" t="s">
        <v>54</v>
      </c>
      <c r="B30" s="221">
        <f>B23+B13+B9+B26</f>
        <v>1105385524.2249999</v>
      </c>
      <c r="C30" s="221">
        <f>C23+C13+C9+C26</f>
        <v>185541714.22499999</v>
      </c>
      <c r="D30" s="221">
        <f t="shared" ref="D30:AC30" si="15">D23+D13+D9+D26</f>
        <v>257456224.22499999</v>
      </c>
      <c r="E30" s="221">
        <f t="shared" si="15"/>
        <v>270206924.22500002</v>
      </c>
      <c r="F30" s="221">
        <f t="shared" si="15"/>
        <v>273667204.22500002</v>
      </c>
      <c r="G30" s="221">
        <f t="shared" si="15"/>
        <v>277464739.22500002</v>
      </c>
      <c r="H30" s="221">
        <f t="shared" si="15"/>
        <v>280416246.22500002</v>
      </c>
      <c r="I30" s="221">
        <f t="shared" si="15"/>
        <v>279998274.22500002</v>
      </c>
      <c r="J30" s="221">
        <f t="shared" si="15"/>
        <v>279998274.22500002</v>
      </c>
      <c r="K30" s="221">
        <f t="shared" si="15"/>
        <v>279998274.22500002</v>
      </c>
      <c r="L30" s="221">
        <f t="shared" si="15"/>
        <v>279998274.22500002</v>
      </c>
      <c r="M30" s="221">
        <f t="shared" si="15"/>
        <v>279998274.22500002</v>
      </c>
      <c r="N30" s="221">
        <f t="shared" si="15"/>
        <v>279998274.22500002</v>
      </c>
      <c r="O30" s="221">
        <f t="shared" si="15"/>
        <v>279998274.22500002</v>
      </c>
      <c r="P30" s="221">
        <f t="shared" si="15"/>
        <v>279998274.22500002</v>
      </c>
      <c r="Q30" s="221">
        <f t="shared" si="15"/>
        <v>279998274.22500002</v>
      </c>
      <c r="R30" s="221">
        <f t="shared" si="15"/>
        <v>279998274.22500002</v>
      </c>
      <c r="S30" s="221">
        <f t="shared" si="15"/>
        <v>279998274.22500002</v>
      </c>
      <c r="T30" s="221">
        <f t="shared" si="15"/>
        <v>279998274.22500002</v>
      </c>
      <c r="U30" s="221">
        <f t="shared" si="15"/>
        <v>279998274.22500002</v>
      </c>
      <c r="V30" s="221">
        <f t="shared" si="15"/>
        <v>279998274.22500002</v>
      </c>
      <c r="W30" s="221">
        <f t="shared" si="15"/>
        <v>279998274.22500002</v>
      </c>
      <c r="X30" s="221">
        <f t="shared" si="15"/>
        <v>279998274.22500002</v>
      </c>
      <c r="Y30" s="221">
        <f t="shared" si="15"/>
        <v>279998274.22500002</v>
      </c>
      <c r="Z30" s="221">
        <f t="shared" si="15"/>
        <v>259936000</v>
      </c>
      <c r="AA30" s="221">
        <f t="shared" si="15"/>
        <v>259936000</v>
      </c>
      <c r="AB30" s="221">
        <f t="shared" si="15"/>
        <v>259936000</v>
      </c>
      <c r="AC30" s="221">
        <f t="shared" si="15"/>
        <v>259936000</v>
      </c>
      <c r="AD30" s="221">
        <f>AD23+AD13+AD9+AD26</f>
        <v>259936000</v>
      </c>
      <c r="AE30" s="221">
        <f>AE23+AE13+AE9+AE26</f>
        <v>259936000</v>
      </c>
    </row>
    <row r="31" spans="1:31" x14ac:dyDescent="0.2">
      <c r="J31" s="12" t="s">
        <v>108</v>
      </c>
    </row>
  </sheetData>
  <mergeCells count="2">
    <mergeCell ref="A7:A8"/>
    <mergeCell ref="B7:AE7"/>
  </mergeCells>
  <printOptions horizontalCentered="1" verticalCentered="1"/>
  <pageMargins left="0.55118110236220474" right="0.51181102362204722" top="0.78740157480314965" bottom="0.78740157480314965" header="0.11811023622047245" footer="0.11811023622047245"/>
  <pageSetup paperSize="8" orientation="landscape" r:id="rId1"/>
  <headerFooter alignWithMargins="0">
    <oddHeader>&amp;C&amp;G</oddHeader>
    <oddFooter>Strona &amp;P z &amp;N</oddFooter>
  </headerFooter>
  <colBreaks count="1" manualBreakCount="1">
    <brk id="16" max="29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K53"/>
  <sheetViews>
    <sheetView workbookViewId="0"/>
  </sheetViews>
  <sheetFormatPr defaultRowHeight="12.75" x14ac:dyDescent="0.2"/>
  <cols>
    <col min="1" max="1" width="4" style="12" bestFit="1" customWidth="1"/>
    <col min="2" max="2" width="30.28515625" style="12" customWidth="1"/>
    <col min="3" max="3" width="10.28515625" style="12" customWidth="1"/>
    <col min="4" max="5" width="11.7109375" style="12" bestFit="1" customWidth="1"/>
    <col min="6" max="6" width="10.7109375" style="12" bestFit="1" customWidth="1"/>
    <col min="7" max="7" width="11.28515625" style="12" bestFit="1" customWidth="1"/>
    <col min="8" max="8" width="10.7109375" style="12" bestFit="1" customWidth="1"/>
    <col min="9" max="10" width="11.7109375" style="12" bestFit="1" customWidth="1"/>
    <col min="11" max="34" width="12.42578125" style="12" bestFit="1" customWidth="1"/>
    <col min="35" max="16384" width="9.140625" style="12"/>
  </cols>
  <sheetData>
    <row r="1" spans="1:37" ht="25.5" x14ac:dyDescent="0.2">
      <c r="A1" s="281" t="s">
        <v>353</v>
      </c>
    </row>
    <row r="2" spans="1:37" x14ac:dyDescent="0.2">
      <c r="A2" s="69"/>
      <c r="B2" s="282"/>
      <c r="C2" s="282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7" ht="15.75" x14ac:dyDescent="0.2">
      <c r="A3" s="283" t="s">
        <v>418</v>
      </c>
      <c r="B3" s="282"/>
      <c r="C3" s="284"/>
      <c r="D3" s="69"/>
      <c r="E3" s="284"/>
      <c r="F3" s="69"/>
      <c r="G3" s="284"/>
      <c r="H3" s="69"/>
      <c r="I3" s="284"/>
      <c r="J3" s="69"/>
      <c r="K3" s="284"/>
      <c r="L3" s="69"/>
      <c r="M3" s="284"/>
      <c r="N3" s="69"/>
      <c r="O3" s="284"/>
      <c r="P3" s="69"/>
      <c r="Q3" s="284"/>
      <c r="R3" s="69"/>
      <c r="S3" s="284"/>
      <c r="T3" s="69"/>
      <c r="U3" s="284"/>
      <c r="V3" s="69"/>
      <c r="W3" s="284"/>
      <c r="X3" s="69"/>
      <c r="Y3" s="284"/>
      <c r="Z3" s="69"/>
      <c r="AA3" s="284"/>
      <c r="AB3" s="69"/>
      <c r="AC3" s="284"/>
      <c r="AD3" s="69"/>
      <c r="AE3" s="284"/>
      <c r="AF3" s="69"/>
      <c r="AG3" s="284"/>
      <c r="AH3" s="69"/>
      <c r="AI3" s="284"/>
      <c r="AJ3" s="69"/>
      <c r="AK3" s="284"/>
    </row>
    <row r="4" spans="1:37" s="1" customFormat="1" ht="13.5" x14ac:dyDescent="0.25">
      <c r="A4" s="306" t="s">
        <v>109</v>
      </c>
      <c r="B4" s="307" t="s">
        <v>44</v>
      </c>
      <c r="C4" s="306">
        <v>2013</v>
      </c>
      <c r="D4" s="306">
        <f>C4+1</f>
        <v>2014</v>
      </c>
      <c r="E4" s="306">
        <f t="shared" ref="E4:AE4" si="0">D4+1</f>
        <v>2015</v>
      </c>
      <c r="F4" s="306">
        <f t="shared" si="0"/>
        <v>2016</v>
      </c>
      <c r="G4" s="306">
        <f t="shared" si="0"/>
        <v>2017</v>
      </c>
      <c r="H4" s="306">
        <f t="shared" si="0"/>
        <v>2018</v>
      </c>
      <c r="I4" s="306">
        <f t="shared" si="0"/>
        <v>2019</v>
      </c>
      <c r="J4" s="306">
        <f t="shared" si="0"/>
        <v>2020</v>
      </c>
      <c r="K4" s="306">
        <f t="shared" si="0"/>
        <v>2021</v>
      </c>
      <c r="L4" s="306">
        <f t="shared" si="0"/>
        <v>2022</v>
      </c>
      <c r="M4" s="306">
        <f t="shared" si="0"/>
        <v>2023</v>
      </c>
      <c r="N4" s="306">
        <f t="shared" si="0"/>
        <v>2024</v>
      </c>
      <c r="O4" s="306">
        <f t="shared" si="0"/>
        <v>2025</v>
      </c>
      <c r="P4" s="306">
        <f t="shared" si="0"/>
        <v>2026</v>
      </c>
      <c r="Q4" s="306">
        <f t="shared" si="0"/>
        <v>2027</v>
      </c>
      <c r="R4" s="306">
        <f t="shared" si="0"/>
        <v>2028</v>
      </c>
      <c r="S4" s="306">
        <f t="shared" si="0"/>
        <v>2029</v>
      </c>
      <c r="T4" s="306">
        <f t="shared" si="0"/>
        <v>2030</v>
      </c>
      <c r="U4" s="306">
        <f t="shared" si="0"/>
        <v>2031</v>
      </c>
      <c r="V4" s="306">
        <f t="shared" si="0"/>
        <v>2032</v>
      </c>
      <c r="W4" s="306">
        <f t="shared" si="0"/>
        <v>2033</v>
      </c>
      <c r="X4" s="306">
        <f t="shared" si="0"/>
        <v>2034</v>
      </c>
      <c r="Y4" s="306">
        <f t="shared" si="0"/>
        <v>2035</v>
      </c>
      <c r="Z4" s="306">
        <f t="shared" si="0"/>
        <v>2036</v>
      </c>
      <c r="AA4" s="306">
        <f t="shared" si="0"/>
        <v>2037</v>
      </c>
      <c r="AB4" s="306">
        <f t="shared" si="0"/>
        <v>2038</v>
      </c>
      <c r="AC4" s="306">
        <f t="shared" si="0"/>
        <v>2039</v>
      </c>
      <c r="AD4" s="306">
        <f t="shared" si="0"/>
        <v>2040</v>
      </c>
      <c r="AE4" s="306">
        <f t="shared" si="0"/>
        <v>2041</v>
      </c>
      <c r="AF4" s="306">
        <f>AE4+1</f>
        <v>2042</v>
      </c>
      <c r="AG4" s="306">
        <f>AF4+1</f>
        <v>2043</v>
      </c>
      <c r="AH4" s="306">
        <f>AG4+1</f>
        <v>2044</v>
      </c>
    </row>
    <row r="5" spans="1:37" s="1" customFormat="1" ht="13.5" x14ac:dyDescent="0.25">
      <c r="A5" s="285"/>
      <c r="B5" s="286" t="s">
        <v>110</v>
      </c>
      <c r="C5" s="286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</row>
    <row r="6" spans="1:37" s="1" customFormat="1" ht="27" x14ac:dyDescent="0.25">
      <c r="A6" s="62" t="s">
        <v>111</v>
      </c>
      <c r="B6" s="61" t="s">
        <v>112</v>
      </c>
      <c r="C6" s="287">
        <f>'Obliczenia-AF'!B282</f>
        <v>0</v>
      </c>
      <c r="D6" s="287">
        <f>'Obliczenia-AF'!C282</f>
        <v>0</v>
      </c>
      <c r="E6" s="287">
        <f>'Obliczenia-AF'!D282</f>
        <v>0</v>
      </c>
      <c r="F6" s="287">
        <f>'Obliczenia-AF'!E282</f>
        <v>2128996.1309273541</v>
      </c>
      <c r="G6" s="287">
        <f>'Obliczenia-AF'!F282</f>
        <v>2128996.1309273541</v>
      </c>
      <c r="H6" s="287">
        <f>'Obliczenia-AF'!G282</f>
        <v>2239450.0909731984</v>
      </c>
      <c r="I6" s="287">
        <f>'Obliczenia-AF'!H282</f>
        <v>5111253.0521648526</v>
      </c>
      <c r="J6" s="287">
        <f>'Obliczenia-AF'!I282</f>
        <v>8756233.7336773276</v>
      </c>
      <c r="K6" s="287">
        <f>'Obliczenia-AF'!J282</f>
        <v>28607570.303235203</v>
      </c>
      <c r="L6" s="287">
        <f>'Obliczenia-AF'!K282</f>
        <v>28607570.303235203</v>
      </c>
      <c r="M6" s="287">
        <f>'Obliczenia-AF'!L282</f>
        <v>28607570.303235203</v>
      </c>
      <c r="N6" s="287">
        <f>'Obliczenia-AF'!M282</f>
        <v>28607570.303235203</v>
      </c>
      <c r="O6" s="287">
        <f>'Obliczenia-AF'!N282</f>
        <v>28607570.303235203</v>
      </c>
      <c r="P6" s="287">
        <f>'Obliczenia-AF'!O282</f>
        <v>28607570.303235203</v>
      </c>
      <c r="Q6" s="287">
        <f>'Obliczenia-AF'!P282</f>
        <v>28607570.303235203</v>
      </c>
      <c r="R6" s="287">
        <f>'Obliczenia-AF'!Q282</f>
        <v>28607570.303235203</v>
      </c>
      <c r="S6" s="287">
        <f>'Obliczenia-AF'!R282</f>
        <v>28607570.303235203</v>
      </c>
      <c r="T6" s="287">
        <f>'Obliczenia-AF'!S282</f>
        <v>28607570.303235203</v>
      </c>
      <c r="U6" s="287">
        <f>'Obliczenia-AF'!T282</f>
        <v>29265221.318891227</v>
      </c>
      <c r="V6" s="287">
        <f>'Obliczenia-AF'!U282</f>
        <v>29265221.318891227</v>
      </c>
      <c r="W6" s="287">
        <f>'Obliczenia-AF'!V282</f>
        <v>29265221.318891227</v>
      </c>
      <c r="X6" s="287">
        <f>'Obliczenia-AF'!W282</f>
        <v>29265221.318891227</v>
      </c>
      <c r="Y6" s="287">
        <f>'Obliczenia-AF'!X282</f>
        <v>28241540.706672698</v>
      </c>
      <c r="Z6" s="287">
        <f>'Obliczenia-AF'!Y282</f>
        <v>26851830.497891665</v>
      </c>
      <c r="AA6" s="287">
        <f>'Obliczenia-AF'!Z282</f>
        <v>29411032.028437972</v>
      </c>
      <c r="AB6" s="287">
        <f>'Obliczenia-AF'!AA282</f>
        <v>29411032.028437972</v>
      </c>
      <c r="AC6" s="287">
        <f>'Obliczenia-AF'!AB282</f>
        <v>29411032.028437972</v>
      </c>
      <c r="AD6" s="287">
        <f>'Obliczenia-AF'!AC282</f>
        <v>29411032.028437972</v>
      </c>
      <c r="AE6" s="287">
        <f>'Obliczenia-AF'!AD282</f>
        <v>29803837.574529648</v>
      </c>
      <c r="AF6" s="287">
        <f>'Obliczenia-AF'!AE282</f>
        <v>29803837.574529648</v>
      </c>
      <c r="AG6" s="287">
        <f>'Obliczenia-AF'!AF282</f>
        <v>29803837.574529648</v>
      </c>
      <c r="AH6" s="287">
        <f>'Obliczenia-AF'!AG282</f>
        <v>29803837.574529648</v>
      </c>
    </row>
    <row r="7" spans="1:37" s="1" customFormat="1" ht="13.5" x14ac:dyDescent="0.25">
      <c r="A7" s="62" t="s">
        <v>113</v>
      </c>
      <c r="B7" s="61" t="s">
        <v>114</v>
      </c>
      <c r="C7" s="287">
        <f>'Obliczenia-AF'!B225+'Obliczenia-AF'!B240</f>
        <v>0</v>
      </c>
      <c r="D7" s="287">
        <f>'Obliczenia-AF'!C225+'Obliczenia-AF'!C240</f>
        <v>0</v>
      </c>
      <c r="E7" s="287">
        <f>'Obliczenia-AF'!D225+'Obliczenia-AF'!D240</f>
        <v>0</v>
      </c>
      <c r="F7" s="287">
        <f>'Obliczenia-AF'!E225+'Obliczenia-AF'!E240</f>
        <v>2142000</v>
      </c>
      <c r="G7" s="287">
        <f>'Obliczenia-AF'!F225+'Obliczenia-AF'!F240</f>
        <v>2148556</v>
      </c>
      <c r="H7" s="287">
        <f>'Obliczenia-AF'!G225+'Obliczenia-AF'!G240</f>
        <v>2263076</v>
      </c>
      <c r="I7" s="287">
        <f>'Obliczenia-AF'!H225+'Obliczenia-AF'!H240</f>
        <v>5173076</v>
      </c>
      <c r="J7" s="287">
        <f>'Obliczenia-AF'!I225+'Obliczenia-AF'!I240</f>
        <v>8773918</v>
      </c>
      <c r="K7" s="287">
        <f>'Obliczenia-AF'!J225+'Obliczenia-AF'!J240</f>
        <v>28680123.625</v>
      </c>
      <c r="L7" s="287">
        <f>'Obliczenia-AF'!K225+'Obliczenia-AF'!K240</f>
        <v>28680123.625</v>
      </c>
      <c r="M7" s="287">
        <f>'Obliczenia-AF'!L225+'Obliczenia-AF'!L240</f>
        <v>28680123.625</v>
      </c>
      <c r="N7" s="287">
        <f>'Obliczenia-AF'!M225+'Obliczenia-AF'!M240</f>
        <v>28680123.625</v>
      </c>
      <c r="O7" s="287">
        <f>'Obliczenia-AF'!N225+'Obliczenia-AF'!N240</f>
        <v>28680123.625</v>
      </c>
      <c r="P7" s="287">
        <f>'Obliczenia-AF'!O225+'Obliczenia-AF'!O240</f>
        <v>28680123.625</v>
      </c>
      <c r="Q7" s="287">
        <f>'Obliczenia-AF'!P225+'Obliczenia-AF'!P240</f>
        <v>28680123.625</v>
      </c>
      <c r="R7" s="287">
        <f>'Obliczenia-AF'!Q225+'Obliczenia-AF'!Q240</f>
        <v>28680123.625</v>
      </c>
      <c r="S7" s="287">
        <f>'Obliczenia-AF'!R225+'Obliczenia-AF'!R240</f>
        <v>28680123.625</v>
      </c>
      <c r="T7" s="287">
        <f>'Obliczenia-AF'!S225+'Obliczenia-AF'!S240</f>
        <v>28680123.625</v>
      </c>
      <c r="U7" s="287">
        <f>'Obliczenia-AF'!T225+'Obliczenia-AF'!T240</f>
        <v>29201485.391249999</v>
      </c>
      <c r="V7" s="287">
        <f>'Obliczenia-AF'!U225+'Obliczenia-AF'!U240</f>
        <v>29201485.391249999</v>
      </c>
      <c r="W7" s="287">
        <f>'Obliczenia-AF'!V225+'Obliczenia-AF'!V240</f>
        <v>29201485.391249999</v>
      </c>
      <c r="X7" s="287">
        <f>'Obliczenia-AF'!W225+'Obliczenia-AF'!W240</f>
        <v>29201485.391249999</v>
      </c>
      <c r="Y7" s="287">
        <f>'Obliczenia-AF'!X225+'Obliczenia-AF'!X240</f>
        <v>28231485.391249999</v>
      </c>
      <c r="Z7" s="287">
        <f>'Obliczenia-AF'!Y225+'Obliczenia-AF'!Y240</f>
        <v>26812847.157499999</v>
      </c>
      <c r="AA7" s="287">
        <f>'Obliczenia-AF'!Z225+'Obliczenia-AF'!Z240</f>
        <v>29332847.157499999</v>
      </c>
      <c r="AB7" s="287">
        <f>'Obliczenia-AF'!AA225+'Obliczenia-AF'!AA240</f>
        <v>29332847.157499999</v>
      </c>
      <c r="AC7" s="287">
        <f>'Obliczenia-AF'!AB225+'Obliczenia-AF'!AB240</f>
        <v>29332847.157499999</v>
      </c>
      <c r="AD7" s="287">
        <f>'Obliczenia-AF'!AC225+'Obliczenia-AF'!AC240</f>
        <v>29332847.157499999</v>
      </c>
      <c r="AE7" s="287">
        <f>'Obliczenia-AF'!AD225+'Obliczenia-AF'!AD240</f>
        <v>29854208.923749998</v>
      </c>
      <c r="AF7" s="287">
        <f>'Obliczenia-AF'!AE225+'Obliczenia-AF'!AE240</f>
        <v>29854208.923749998</v>
      </c>
      <c r="AG7" s="287">
        <f>'Obliczenia-AF'!AF225+'Obliczenia-AF'!AF240</f>
        <v>29854208.923749998</v>
      </c>
      <c r="AH7" s="287">
        <f>'Obliczenia-AF'!AG225+'Obliczenia-AF'!AG240</f>
        <v>29854208.923749998</v>
      </c>
    </row>
    <row r="8" spans="1:37" s="1" customFormat="1" ht="13.5" x14ac:dyDescent="0.25">
      <c r="A8" s="62" t="s">
        <v>115</v>
      </c>
      <c r="B8" s="61" t="s">
        <v>116</v>
      </c>
      <c r="C8" s="287">
        <f>C6-C7</f>
        <v>0</v>
      </c>
      <c r="D8" s="287">
        <f>D6-D7</f>
        <v>0</v>
      </c>
      <c r="E8" s="287">
        <f t="shared" ref="E8:AG8" si="1">E6-E7</f>
        <v>0</v>
      </c>
      <c r="F8" s="287">
        <f t="shared" si="1"/>
        <v>-13003.869072645903</v>
      </c>
      <c r="G8" s="287">
        <f t="shared" si="1"/>
        <v>-19559.869072645903</v>
      </c>
      <c r="H8" s="287">
        <f t="shared" si="1"/>
        <v>-23625.909026801586</v>
      </c>
      <c r="I8" s="287">
        <f t="shared" si="1"/>
        <v>-61822.947835147381</v>
      </c>
      <c r="J8" s="287">
        <f t="shared" si="1"/>
        <v>-17684.266322672367</v>
      </c>
      <c r="K8" s="287">
        <f t="shared" si="1"/>
        <v>-72553.321764796972</v>
      </c>
      <c r="L8" s="287">
        <f t="shared" si="1"/>
        <v>-72553.321764796972</v>
      </c>
      <c r="M8" s="287">
        <f t="shared" si="1"/>
        <v>-72553.321764796972</v>
      </c>
      <c r="N8" s="287">
        <f t="shared" si="1"/>
        <v>-72553.321764796972</v>
      </c>
      <c r="O8" s="287">
        <f t="shared" si="1"/>
        <v>-72553.321764796972</v>
      </c>
      <c r="P8" s="287">
        <f t="shared" si="1"/>
        <v>-72553.321764796972</v>
      </c>
      <c r="Q8" s="287">
        <f t="shared" si="1"/>
        <v>-72553.321764796972</v>
      </c>
      <c r="R8" s="287">
        <f t="shared" si="1"/>
        <v>-72553.321764796972</v>
      </c>
      <c r="S8" s="287">
        <f t="shared" si="1"/>
        <v>-72553.321764796972</v>
      </c>
      <c r="T8" s="287">
        <f t="shared" si="1"/>
        <v>-72553.321764796972</v>
      </c>
      <c r="U8" s="287">
        <f t="shared" si="1"/>
        <v>63735.927641227841</v>
      </c>
      <c r="V8" s="287">
        <f t="shared" si="1"/>
        <v>63735.927641227841</v>
      </c>
      <c r="W8" s="287">
        <f t="shared" si="1"/>
        <v>63735.927641227841</v>
      </c>
      <c r="X8" s="287">
        <f t="shared" si="1"/>
        <v>63735.927641227841</v>
      </c>
      <c r="Y8" s="287">
        <f t="shared" si="1"/>
        <v>10055.315422698855</v>
      </c>
      <c r="Z8" s="287">
        <f t="shared" si="1"/>
        <v>38983.340391665697</v>
      </c>
      <c r="AA8" s="287">
        <f t="shared" si="1"/>
        <v>78184.870937973261</v>
      </c>
      <c r="AB8" s="287">
        <f t="shared" si="1"/>
        <v>78184.870937973261</v>
      </c>
      <c r="AC8" s="287">
        <f t="shared" si="1"/>
        <v>78184.870937973261</v>
      </c>
      <c r="AD8" s="287">
        <f t="shared" si="1"/>
        <v>78184.870937973261</v>
      </c>
      <c r="AE8" s="287">
        <f t="shared" si="1"/>
        <v>-50371.349220350385</v>
      </c>
      <c r="AF8" s="287">
        <f t="shared" si="1"/>
        <v>-50371.349220350385</v>
      </c>
      <c r="AG8" s="287">
        <f t="shared" si="1"/>
        <v>-50371.349220350385</v>
      </c>
      <c r="AH8" s="287">
        <f>AH6-AH7</f>
        <v>-50371.349220350385</v>
      </c>
    </row>
    <row r="9" spans="1:37" s="1" customFormat="1" ht="13.5" x14ac:dyDescent="0.25">
      <c r="A9" s="62" t="s">
        <v>117</v>
      </c>
      <c r="B9" s="61" t="s">
        <v>118</v>
      </c>
      <c r="C9" s="287">
        <f>('Obliczenia-AF'!B20+'Obliczenia-AF'!B24)*'Wyniki-Luka_FNPV_ENPV   '!$C$31</f>
        <v>0</v>
      </c>
      <c r="D9" s="287">
        <f>('Obliczenia-AF'!C20+'Obliczenia-AF'!C24)*'Wyniki-Luka_FNPV_ENPV   '!$C$31</f>
        <v>0</v>
      </c>
      <c r="E9" s="287">
        <f>('Obliczenia-AF'!D20+'Obliczenia-AF'!D24)*'Wyniki-Luka_FNPV_ENPV   '!$C$31</f>
        <v>0</v>
      </c>
      <c r="F9" s="287">
        <f>('Obliczenia-AF'!E20+'Obliczenia-AF'!E24)*'Wyniki-Luka_FNPV_ENPV   '!$C$31</f>
        <v>0</v>
      </c>
      <c r="G9" s="287">
        <f>('Obliczenia-AF'!F20+'Obliczenia-AF'!F24)*'Wyniki-Luka_FNPV_ENPV   '!$C$31</f>
        <v>0</v>
      </c>
      <c r="H9" s="287">
        <f>('Obliczenia-AF'!G20+'Obliczenia-AF'!G24)*'Wyniki-Luka_FNPV_ENPV   '!$C$31</f>
        <v>0</v>
      </c>
      <c r="I9" s="287">
        <f>('Obliczenia-AF'!H20+'Obliczenia-AF'!H24)*'Wyniki-Luka_FNPV_ENPV   '!$C$31</f>
        <v>1437540</v>
      </c>
      <c r="J9" s="287">
        <f>('Obliczenia-AF'!I20+'Obliczenia-AF'!I24)*'Wyniki-Luka_FNPV_ENPV   '!$C$31</f>
        <v>1437540</v>
      </c>
      <c r="K9" s="287">
        <f>('Obliczenia-AF'!J20+'Obliczenia-AF'!J24)*'Wyniki-Luka_FNPV_ENPV   '!$C$31</f>
        <v>6200372.00055</v>
      </c>
      <c r="L9" s="287">
        <f>('Obliczenia-AF'!K20+'Obliczenia-AF'!K24)*'Wyniki-Luka_FNPV_ENPV   '!$C$31</f>
        <v>6200372.00055</v>
      </c>
      <c r="M9" s="287">
        <f>('Obliczenia-AF'!L20+'Obliczenia-AF'!L24)*'Wyniki-Luka_FNPV_ENPV   '!$C$31</f>
        <v>6200372.00055</v>
      </c>
      <c r="N9" s="287">
        <f>('Obliczenia-AF'!M20+'Obliczenia-AF'!M24)*'Wyniki-Luka_FNPV_ENPV   '!$C$31</f>
        <v>6200372.00055</v>
      </c>
      <c r="O9" s="287">
        <f>('Obliczenia-AF'!N20+'Obliczenia-AF'!N24)*'Wyniki-Luka_FNPV_ENPV   '!$C$31</f>
        <v>6200372.00055</v>
      </c>
      <c r="P9" s="287">
        <f>('Obliczenia-AF'!O20+'Obliczenia-AF'!O24)*'Wyniki-Luka_FNPV_ENPV   '!$C$31</f>
        <v>6200372.00055</v>
      </c>
      <c r="Q9" s="287">
        <f>('Obliczenia-AF'!P20+'Obliczenia-AF'!P24)*'Wyniki-Luka_FNPV_ENPV   '!$C$31</f>
        <v>6200372.00055</v>
      </c>
      <c r="R9" s="287">
        <f>('Obliczenia-AF'!Q20+'Obliczenia-AF'!Q24)*'Wyniki-Luka_FNPV_ENPV   '!$C$31</f>
        <v>6200372.00055</v>
      </c>
      <c r="S9" s="287">
        <f>('Obliczenia-AF'!R20+'Obliczenia-AF'!R24)*'Wyniki-Luka_FNPV_ENPV   '!$C$31</f>
        <v>6200372.00055</v>
      </c>
      <c r="T9" s="287">
        <f>('Obliczenia-AF'!S20+'Obliczenia-AF'!S24)*'Wyniki-Luka_FNPV_ENPV   '!$C$31</f>
        <v>6200372.00055</v>
      </c>
      <c r="U9" s="287">
        <f>('Obliczenia-AF'!T20+'Obliczenia-AF'!T24)*'Wyniki-Luka_FNPV_ENPV   '!$C$31</f>
        <v>6200372.00055</v>
      </c>
      <c r="V9" s="287">
        <f>('Obliczenia-AF'!U20+'Obliczenia-AF'!U24)*'Wyniki-Luka_FNPV_ENPV   '!$C$31</f>
        <v>6200372.00055</v>
      </c>
      <c r="W9" s="287">
        <f>('Obliczenia-AF'!V20+'Obliczenia-AF'!V24)*'Wyniki-Luka_FNPV_ENPV   '!$C$31</f>
        <v>6200372.00055</v>
      </c>
      <c r="X9" s="287">
        <f>('Obliczenia-AF'!W20+'Obliczenia-AF'!W24)*'Wyniki-Luka_FNPV_ENPV   '!$C$31</f>
        <v>6200372.00055</v>
      </c>
      <c r="Y9" s="287">
        <f>('Obliczenia-AF'!X20+'Obliczenia-AF'!X24)*'Wyniki-Luka_FNPV_ENPV   '!$C$31</f>
        <v>5721192.00055</v>
      </c>
      <c r="Z9" s="287">
        <f>('Obliczenia-AF'!Y20+'Obliczenia-AF'!Y24)*'Wyniki-Luka_FNPV_ENPV   '!$C$31</f>
        <v>4762832.00055</v>
      </c>
      <c r="AA9" s="287">
        <f>('Obliczenia-AF'!Z20+'Obliczenia-AF'!Z24)*'Wyniki-Luka_FNPV_ENPV   '!$C$31</f>
        <v>4762832.00055</v>
      </c>
      <c r="AB9" s="287">
        <f>('Obliczenia-AF'!AA20+'Obliczenia-AF'!AA24)*'Wyniki-Luka_FNPV_ENPV   '!$C$31</f>
        <v>4762832.00055</v>
      </c>
      <c r="AC9" s="287">
        <f>('Obliczenia-AF'!AB20+'Obliczenia-AF'!AB24)*'Wyniki-Luka_FNPV_ENPV   '!$C$31</f>
        <v>4762832.00055</v>
      </c>
      <c r="AD9" s="287">
        <f>('Obliczenia-AF'!AC20+'Obliczenia-AF'!AC24)*'Wyniki-Luka_FNPV_ENPV   '!$C$31</f>
        <v>4762832.00055</v>
      </c>
      <c r="AE9" s="287">
        <f>('Obliczenia-AF'!AD20+'Obliczenia-AF'!AD24)*'Wyniki-Luka_FNPV_ENPV   '!$C$31</f>
        <v>4762832.00055</v>
      </c>
      <c r="AF9" s="287">
        <f>('Obliczenia-AF'!AE20+'Obliczenia-AF'!AE24)*'Wyniki-Luka_FNPV_ENPV   '!$C$31</f>
        <v>4762832.00055</v>
      </c>
      <c r="AG9" s="287">
        <f>('Obliczenia-AF'!AF20+'Obliczenia-AF'!AF24)*'Wyniki-Luka_FNPV_ENPV   '!$C$31</f>
        <v>4762832.00055</v>
      </c>
      <c r="AH9" s="287">
        <f>('Obliczenia-AF'!AG20+'Obliczenia-AF'!AG24)*'Wyniki-Luka_FNPV_ENPV   '!$C$31</f>
        <v>4762832.00055</v>
      </c>
    </row>
    <row r="10" spans="1:37" s="1" customFormat="1" ht="13.5" x14ac:dyDescent="0.25">
      <c r="A10" s="62" t="s">
        <v>119</v>
      </c>
      <c r="B10" s="61" t="s">
        <v>120</v>
      </c>
      <c r="C10" s="287">
        <v>0</v>
      </c>
      <c r="D10" s="287">
        <v>0</v>
      </c>
      <c r="E10" s="287">
        <f t="shared" ref="E10:AE10" si="2">D10</f>
        <v>0</v>
      </c>
      <c r="F10" s="287">
        <f t="shared" si="2"/>
        <v>0</v>
      </c>
      <c r="G10" s="287">
        <f t="shared" si="2"/>
        <v>0</v>
      </c>
      <c r="H10" s="287">
        <f t="shared" si="2"/>
        <v>0</v>
      </c>
      <c r="I10" s="287">
        <f t="shared" si="2"/>
        <v>0</v>
      </c>
      <c r="J10" s="287">
        <f t="shared" si="2"/>
        <v>0</v>
      </c>
      <c r="K10" s="287">
        <f t="shared" si="2"/>
        <v>0</v>
      </c>
      <c r="L10" s="287">
        <f t="shared" si="2"/>
        <v>0</v>
      </c>
      <c r="M10" s="287">
        <f t="shared" si="2"/>
        <v>0</v>
      </c>
      <c r="N10" s="287">
        <f t="shared" si="2"/>
        <v>0</v>
      </c>
      <c r="O10" s="287">
        <f t="shared" si="2"/>
        <v>0</v>
      </c>
      <c r="P10" s="287">
        <f t="shared" si="2"/>
        <v>0</v>
      </c>
      <c r="Q10" s="287">
        <f t="shared" si="2"/>
        <v>0</v>
      </c>
      <c r="R10" s="287">
        <f t="shared" si="2"/>
        <v>0</v>
      </c>
      <c r="S10" s="287">
        <f t="shared" si="2"/>
        <v>0</v>
      </c>
      <c r="T10" s="287">
        <f t="shared" si="2"/>
        <v>0</v>
      </c>
      <c r="U10" s="287">
        <f t="shared" si="2"/>
        <v>0</v>
      </c>
      <c r="V10" s="287">
        <f t="shared" si="2"/>
        <v>0</v>
      </c>
      <c r="W10" s="287">
        <f t="shared" si="2"/>
        <v>0</v>
      </c>
      <c r="X10" s="287">
        <f t="shared" si="2"/>
        <v>0</v>
      </c>
      <c r="Y10" s="287">
        <f t="shared" si="2"/>
        <v>0</v>
      </c>
      <c r="Z10" s="287">
        <f t="shared" si="2"/>
        <v>0</v>
      </c>
      <c r="AA10" s="287">
        <f t="shared" si="2"/>
        <v>0</v>
      </c>
      <c r="AB10" s="287">
        <f t="shared" si="2"/>
        <v>0</v>
      </c>
      <c r="AC10" s="287">
        <f t="shared" si="2"/>
        <v>0</v>
      </c>
      <c r="AD10" s="287">
        <f t="shared" si="2"/>
        <v>0</v>
      </c>
      <c r="AE10" s="287">
        <f t="shared" si="2"/>
        <v>0</v>
      </c>
      <c r="AF10" s="287">
        <f>AE10</f>
        <v>0</v>
      </c>
      <c r="AG10" s="287">
        <f>AF10</f>
        <v>0</v>
      </c>
      <c r="AH10" s="287">
        <f>AG10</f>
        <v>0</v>
      </c>
    </row>
    <row r="11" spans="1:37" s="1" customFormat="1" ht="13.5" x14ac:dyDescent="0.25">
      <c r="A11" s="62" t="s">
        <v>121</v>
      </c>
      <c r="B11" s="61" t="s">
        <v>122</v>
      </c>
      <c r="C11" s="287">
        <f t="shared" ref="C11:AG11" si="3">C8+C9-C10</f>
        <v>0</v>
      </c>
      <c r="D11" s="287">
        <f t="shared" si="3"/>
        <v>0</v>
      </c>
      <c r="E11" s="287">
        <f t="shared" si="3"/>
        <v>0</v>
      </c>
      <c r="F11" s="287">
        <f t="shared" si="3"/>
        <v>-13003.869072645903</v>
      </c>
      <c r="G11" s="287">
        <f t="shared" si="3"/>
        <v>-19559.869072645903</v>
      </c>
      <c r="H11" s="287">
        <f t="shared" si="3"/>
        <v>-23625.909026801586</v>
      </c>
      <c r="I11" s="287">
        <f t="shared" si="3"/>
        <v>1375717.0521648526</v>
      </c>
      <c r="J11" s="287">
        <f t="shared" si="3"/>
        <v>1419855.7336773276</v>
      </c>
      <c r="K11" s="287">
        <f t="shared" si="3"/>
        <v>6127818.678785203</v>
      </c>
      <c r="L11" s="287">
        <f t="shared" si="3"/>
        <v>6127818.678785203</v>
      </c>
      <c r="M11" s="287">
        <f t="shared" si="3"/>
        <v>6127818.678785203</v>
      </c>
      <c r="N11" s="287">
        <f t="shared" si="3"/>
        <v>6127818.678785203</v>
      </c>
      <c r="O11" s="287">
        <f>O8+O9-O10</f>
        <v>6127818.678785203</v>
      </c>
      <c r="P11" s="287">
        <f>P8+P9-P10</f>
        <v>6127818.678785203</v>
      </c>
      <c r="Q11" s="287">
        <f>Q8+Q9-Q10</f>
        <v>6127818.678785203</v>
      </c>
      <c r="R11" s="287">
        <f t="shared" si="3"/>
        <v>6127818.678785203</v>
      </c>
      <c r="S11" s="287">
        <f t="shared" si="3"/>
        <v>6127818.678785203</v>
      </c>
      <c r="T11" s="287">
        <f t="shared" si="3"/>
        <v>6127818.678785203</v>
      </c>
      <c r="U11" s="287">
        <f t="shared" si="3"/>
        <v>6264107.9281912278</v>
      </c>
      <c r="V11" s="287">
        <f t="shared" si="3"/>
        <v>6264107.9281912278</v>
      </c>
      <c r="W11" s="287">
        <f t="shared" si="3"/>
        <v>6264107.9281912278</v>
      </c>
      <c r="X11" s="287">
        <f t="shared" si="3"/>
        <v>6264107.9281912278</v>
      </c>
      <c r="Y11" s="287">
        <f t="shared" si="3"/>
        <v>5731247.3159726989</v>
      </c>
      <c r="Z11" s="287">
        <f t="shared" si="3"/>
        <v>4801815.3409416657</v>
      </c>
      <c r="AA11" s="287">
        <f t="shared" si="3"/>
        <v>4841016.8714879733</v>
      </c>
      <c r="AB11" s="287">
        <f t="shared" si="3"/>
        <v>4841016.8714879733</v>
      </c>
      <c r="AC11" s="287">
        <f t="shared" si="3"/>
        <v>4841016.8714879733</v>
      </c>
      <c r="AD11" s="287">
        <f t="shared" si="3"/>
        <v>4841016.8714879733</v>
      </c>
      <c r="AE11" s="287">
        <f t="shared" si="3"/>
        <v>4712460.6513296496</v>
      </c>
      <c r="AF11" s="287">
        <f t="shared" si="3"/>
        <v>4712460.6513296496</v>
      </c>
      <c r="AG11" s="287">
        <f t="shared" si="3"/>
        <v>4712460.6513296496</v>
      </c>
      <c r="AH11" s="287">
        <f>AH8+AH9-AH10</f>
        <v>4712460.6513296496</v>
      </c>
    </row>
    <row r="12" spans="1:37" s="1" customFormat="1" ht="13.5" x14ac:dyDescent="0.25">
      <c r="A12" s="62" t="s">
        <v>123</v>
      </c>
      <c r="B12" s="61" t="s">
        <v>124</v>
      </c>
      <c r="C12" s="287">
        <v>0</v>
      </c>
      <c r="D12" s="287">
        <v>0</v>
      </c>
      <c r="E12" s="287">
        <f t="shared" ref="E12:T13" si="4">D12</f>
        <v>0</v>
      </c>
      <c r="F12" s="287">
        <f t="shared" si="4"/>
        <v>0</v>
      </c>
      <c r="G12" s="287">
        <f t="shared" si="4"/>
        <v>0</v>
      </c>
      <c r="H12" s="287">
        <f t="shared" si="4"/>
        <v>0</v>
      </c>
      <c r="I12" s="287">
        <f t="shared" si="4"/>
        <v>0</v>
      </c>
      <c r="J12" s="287">
        <f t="shared" si="4"/>
        <v>0</v>
      </c>
      <c r="K12" s="287">
        <f t="shared" si="4"/>
        <v>0</v>
      </c>
      <c r="L12" s="287">
        <f t="shared" si="4"/>
        <v>0</v>
      </c>
      <c r="M12" s="287">
        <f t="shared" si="4"/>
        <v>0</v>
      </c>
      <c r="N12" s="287">
        <f t="shared" si="4"/>
        <v>0</v>
      </c>
      <c r="O12" s="287">
        <f t="shared" si="4"/>
        <v>0</v>
      </c>
      <c r="P12" s="287">
        <f t="shared" si="4"/>
        <v>0</v>
      </c>
      <c r="Q12" s="287">
        <f t="shared" si="4"/>
        <v>0</v>
      </c>
      <c r="R12" s="287">
        <f t="shared" si="4"/>
        <v>0</v>
      </c>
      <c r="S12" s="287">
        <f t="shared" si="4"/>
        <v>0</v>
      </c>
      <c r="T12" s="287">
        <f t="shared" si="4"/>
        <v>0</v>
      </c>
      <c r="U12" s="287">
        <f t="shared" ref="U12:AH13" si="5">T12</f>
        <v>0</v>
      </c>
      <c r="V12" s="287">
        <f t="shared" si="5"/>
        <v>0</v>
      </c>
      <c r="W12" s="287">
        <f t="shared" si="5"/>
        <v>0</v>
      </c>
      <c r="X12" s="287">
        <f t="shared" si="5"/>
        <v>0</v>
      </c>
      <c r="Y12" s="287">
        <f t="shared" si="5"/>
        <v>0</v>
      </c>
      <c r="Z12" s="287">
        <f t="shared" si="5"/>
        <v>0</v>
      </c>
      <c r="AA12" s="287">
        <f t="shared" si="5"/>
        <v>0</v>
      </c>
      <c r="AB12" s="287">
        <f t="shared" si="5"/>
        <v>0</v>
      </c>
      <c r="AC12" s="287">
        <f t="shared" si="5"/>
        <v>0</v>
      </c>
      <c r="AD12" s="287">
        <f t="shared" si="5"/>
        <v>0</v>
      </c>
      <c r="AE12" s="287">
        <f t="shared" si="5"/>
        <v>0</v>
      </c>
      <c r="AF12" s="287">
        <f t="shared" si="5"/>
        <v>0</v>
      </c>
      <c r="AG12" s="287">
        <f t="shared" si="5"/>
        <v>0</v>
      </c>
      <c r="AH12" s="287">
        <f t="shared" si="5"/>
        <v>0</v>
      </c>
    </row>
    <row r="13" spans="1:37" s="1" customFormat="1" ht="13.5" x14ac:dyDescent="0.25">
      <c r="A13" s="62" t="s">
        <v>125</v>
      </c>
      <c r="B13" s="61" t="s">
        <v>126</v>
      </c>
      <c r="C13" s="287">
        <v>0</v>
      </c>
      <c r="D13" s="287">
        <v>0</v>
      </c>
      <c r="E13" s="287">
        <f t="shared" si="4"/>
        <v>0</v>
      </c>
      <c r="F13" s="287">
        <f t="shared" si="4"/>
        <v>0</v>
      </c>
      <c r="G13" s="287">
        <f t="shared" si="4"/>
        <v>0</v>
      </c>
      <c r="H13" s="287">
        <f t="shared" si="4"/>
        <v>0</v>
      </c>
      <c r="I13" s="287">
        <f t="shared" si="4"/>
        <v>0</v>
      </c>
      <c r="J13" s="287">
        <f t="shared" si="4"/>
        <v>0</v>
      </c>
      <c r="K13" s="287">
        <f t="shared" si="4"/>
        <v>0</v>
      </c>
      <c r="L13" s="287">
        <f t="shared" si="4"/>
        <v>0</v>
      </c>
      <c r="M13" s="287">
        <f t="shared" si="4"/>
        <v>0</v>
      </c>
      <c r="N13" s="287">
        <f t="shared" si="4"/>
        <v>0</v>
      </c>
      <c r="O13" s="287">
        <f t="shared" si="4"/>
        <v>0</v>
      </c>
      <c r="P13" s="287">
        <f t="shared" si="4"/>
        <v>0</v>
      </c>
      <c r="Q13" s="287">
        <f t="shared" si="4"/>
        <v>0</v>
      </c>
      <c r="R13" s="287">
        <f t="shared" si="4"/>
        <v>0</v>
      </c>
      <c r="S13" s="287">
        <f t="shared" si="4"/>
        <v>0</v>
      </c>
      <c r="T13" s="287">
        <f t="shared" si="4"/>
        <v>0</v>
      </c>
      <c r="U13" s="287">
        <f t="shared" si="5"/>
        <v>0</v>
      </c>
      <c r="V13" s="287">
        <f t="shared" si="5"/>
        <v>0</v>
      </c>
      <c r="W13" s="287">
        <f t="shared" si="5"/>
        <v>0</v>
      </c>
      <c r="X13" s="287">
        <f t="shared" si="5"/>
        <v>0</v>
      </c>
      <c r="Y13" s="287">
        <f t="shared" si="5"/>
        <v>0</v>
      </c>
      <c r="Z13" s="287">
        <f t="shared" si="5"/>
        <v>0</v>
      </c>
      <c r="AA13" s="287">
        <f t="shared" si="5"/>
        <v>0</v>
      </c>
      <c r="AB13" s="287">
        <f t="shared" si="5"/>
        <v>0</v>
      </c>
      <c r="AC13" s="287">
        <f t="shared" si="5"/>
        <v>0</v>
      </c>
      <c r="AD13" s="287">
        <f t="shared" si="5"/>
        <v>0</v>
      </c>
      <c r="AE13" s="287">
        <f t="shared" si="5"/>
        <v>0</v>
      </c>
      <c r="AF13" s="287">
        <f t="shared" si="5"/>
        <v>0</v>
      </c>
      <c r="AG13" s="287">
        <f t="shared" si="5"/>
        <v>0</v>
      </c>
      <c r="AH13" s="287">
        <f t="shared" si="5"/>
        <v>0</v>
      </c>
    </row>
    <row r="14" spans="1:37" s="1" customFormat="1" ht="13.5" x14ac:dyDescent="0.25">
      <c r="A14" s="62" t="s">
        <v>127</v>
      </c>
      <c r="B14" s="61" t="s">
        <v>128</v>
      </c>
      <c r="C14" s="287">
        <v>0</v>
      </c>
      <c r="D14" s="287">
        <f t="shared" ref="D14:AG14" si="6">D11+D12-D13</f>
        <v>0</v>
      </c>
      <c r="E14" s="287">
        <f t="shared" si="6"/>
        <v>0</v>
      </c>
      <c r="F14" s="287">
        <f t="shared" si="6"/>
        <v>-13003.869072645903</v>
      </c>
      <c r="G14" s="287">
        <f t="shared" si="6"/>
        <v>-19559.869072645903</v>
      </c>
      <c r="H14" s="287">
        <f t="shared" si="6"/>
        <v>-23625.909026801586</v>
      </c>
      <c r="I14" s="287">
        <f t="shared" si="6"/>
        <v>1375717.0521648526</v>
      </c>
      <c r="J14" s="287">
        <f t="shared" si="6"/>
        <v>1419855.7336773276</v>
      </c>
      <c r="K14" s="287">
        <f t="shared" si="6"/>
        <v>6127818.678785203</v>
      </c>
      <c r="L14" s="287">
        <f t="shared" si="6"/>
        <v>6127818.678785203</v>
      </c>
      <c r="M14" s="287">
        <f t="shared" si="6"/>
        <v>6127818.678785203</v>
      </c>
      <c r="N14" s="287">
        <f t="shared" si="6"/>
        <v>6127818.678785203</v>
      </c>
      <c r="O14" s="287">
        <f t="shared" si="6"/>
        <v>6127818.678785203</v>
      </c>
      <c r="P14" s="287">
        <f t="shared" si="6"/>
        <v>6127818.678785203</v>
      </c>
      <c r="Q14" s="287">
        <f t="shared" si="6"/>
        <v>6127818.678785203</v>
      </c>
      <c r="R14" s="287">
        <f t="shared" si="6"/>
        <v>6127818.678785203</v>
      </c>
      <c r="S14" s="287">
        <f t="shared" si="6"/>
        <v>6127818.678785203</v>
      </c>
      <c r="T14" s="287">
        <f t="shared" si="6"/>
        <v>6127818.678785203</v>
      </c>
      <c r="U14" s="287">
        <f t="shared" si="6"/>
        <v>6264107.9281912278</v>
      </c>
      <c r="V14" s="287">
        <f t="shared" si="6"/>
        <v>6264107.9281912278</v>
      </c>
      <c r="W14" s="287">
        <f t="shared" si="6"/>
        <v>6264107.9281912278</v>
      </c>
      <c r="X14" s="287">
        <f t="shared" si="6"/>
        <v>6264107.9281912278</v>
      </c>
      <c r="Y14" s="287">
        <f t="shared" si="6"/>
        <v>5731247.3159726989</v>
      </c>
      <c r="Z14" s="287">
        <f t="shared" si="6"/>
        <v>4801815.3409416657</v>
      </c>
      <c r="AA14" s="287">
        <f t="shared" si="6"/>
        <v>4841016.8714879733</v>
      </c>
      <c r="AB14" s="287">
        <f t="shared" si="6"/>
        <v>4841016.8714879733</v>
      </c>
      <c r="AC14" s="287">
        <f t="shared" si="6"/>
        <v>4841016.8714879733</v>
      </c>
      <c r="AD14" s="287">
        <f t="shared" si="6"/>
        <v>4841016.8714879733</v>
      </c>
      <c r="AE14" s="287">
        <f t="shared" si="6"/>
        <v>4712460.6513296496</v>
      </c>
      <c r="AF14" s="287">
        <f t="shared" si="6"/>
        <v>4712460.6513296496</v>
      </c>
      <c r="AG14" s="287">
        <f t="shared" si="6"/>
        <v>4712460.6513296496</v>
      </c>
      <c r="AH14" s="287">
        <f>AH11+AH12-AH13</f>
        <v>4712460.6513296496</v>
      </c>
    </row>
    <row r="15" spans="1:37" s="1" customFormat="1" ht="13.5" x14ac:dyDescent="0.25">
      <c r="A15" s="62" t="s">
        <v>129</v>
      </c>
      <c r="B15" s="288" t="s">
        <v>130</v>
      </c>
      <c r="C15" s="287">
        <v>0</v>
      </c>
      <c r="D15" s="287">
        <v>0</v>
      </c>
      <c r="E15" s="287">
        <f t="shared" ref="E15:AE15" si="7">D15</f>
        <v>0</v>
      </c>
      <c r="F15" s="287">
        <f t="shared" si="7"/>
        <v>0</v>
      </c>
      <c r="G15" s="287">
        <f t="shared" si="7"/>
        <v>0</v>
      </c>
      <c r="H15" s="287">
        <f t="shared" si="7"/>
        <v>0</v>
      </c>
      <c r="I15" s="287">
        <f t="shared" si="7"/>
        <v>0</v>
      </c>
      <c r="J15" s="287">
        <f t="shared" si="7"/>
        <v>0</v>
      </c>
      <c r="K15" s="287">
        <f t="shared" si="7"/>
        <v>0</v>
      </c>
      <c r="L15" s="287">
        <f t="shared" si="7"/>
        <v>0</v>
      </c>
      <c r="M15" s="287">
        <f t="shared" si="7"/>
        <v>0</v>
      </c>
      <c r="N15" s="287">
        <f t="shared" si="7"/>
        <v>0</v>
      </c>
      <c r="O15" s="287">
        <f t="shared" si="7"/>
        <v>0</v>
      </c>
      <c r="P15" s="287">
        <f t="shared" si="7"/>
        <v>0</v>
      </c>
      <c r="Q15" s="287">
        <f t="shared" si="7"/>
        <v>0</v>
      </c>
      <c r="R15" s="287">
        <f t="shared" si="7"/>
        <v>0</v>
      </c>
      <c r="S15" s="287">
        <f t="shared" si="7"/>
        <v>0</v>
      </c>
      <c r="T15" s="287">
        <f t="shared" si="7"/>
        <v>0</v>
      </c>
      <c r="U15" s="287">
        <f t="shared" si="7"/>
        <v>0</v>
      </c>
      <c r="V15" s="287">
        <f t="shared" si="7"/>
        <v>0</v>
      </c>
      <c r="W15" s="287">
        <f t="shared" si="7"/>
        <v>0</v>
      </c>
      <c r="X15" s="287">
        <f t="shared" si="7"/>
        <v>0</v>
      </c>
      <c r="Y15" s="287">
        <f t="shared" si="7"/>
        <v>0</v>
      </c>
      <c r="Z15" s="287">
        <f t="shared" si="7"/>
        <v>0</v>
      </c>
      <c r="AA15" s="287">
        <f t="shared" si="7"/>
        <v>0</v>
      </c>
      <c r="AB15" s="287">
        <f t="shared" si="7"/>
        <v>0</v>
      </c>
      <c r="AC15" s="287">
        <f t="shared" si="7"/>
        <v>0</v>
      </c>
      <c r="AD15" s="287">
        <f t="shared" si="7"/>
        <v>0</v>
      </c>
      <c r="AE15" s="287">
        <f t="shared" si="7"/>
        <v>0</v>
      </c>
      <c r="AF15" s="287">
        <f>AE15</f>
        <v>0</v>
      </c>
      <c r="AG15" s="287">
        <f>AF15</f>
        <v>0</v>
      </c>
      <c r="AH15" s="287">
        <f>AG15</f>
        <v>0</v>
      </c>
    </row>
    <row r="16" spans="1:37" s="1" customFormat="1" ht="13.5" x14ac:dyDescent="0.25">
      <c r="A16" s="62" t="s">
        <v>131</v>
      </c>
      <c r="B16" s="61" t="s">
        <v>132</v>
      </c>
      <c r="C16" s="287">
        <v>0</v>
      </c>
      <c r="D16" s="287">
        <f t="shared" ref="D16:AG16" si="8">D14+D15</f>
        <v>0</v>
      </c>
      <c r="E16" s="287">
        <f t="shared" si="8"/>
        <v>0</v>
      </c>
      <c r="F16" s="287">
        <f t="shared" si="8"/>
        <v>-13003.869072645903</v>
      </c>
      <c r="G16" s="287">
        <f t="shared" si="8"/>
        <v>-19559.869072645903</v>
      </c>
      <c r="H16" s="287">
        <f t="shared" si="8"/>
        <v>-23625.909026801586</v>
      </c>
      <c r="I16" s="287">
        <f t="shared" si="8"/>
        <v>1375717.0521648526</v>
      </c>
      <c r="J16" s="287">
        <f t="shared" si="8"/>
        <v>1419855.7336773276</v>
      </c>
      <c r="K16" s="287">
        <f t="shared" si="8"/>
        <v>6127818.678785203</v>
      </c>
      <c r="L16" s="287">
        <f t="shared" si="8"/>
        <v>6127818.678785203</v>
      </c>
      <c r="M16" s="287">
        <f t="shared" si="8"/>
        <v>6127818.678785203</v>
      </c>
      <c r="N16" s="287">
        <f t="shared" si="8"/>
        <v>6127818.678785203</v>
      </c>
      <c r="O16" s="287">
        <f t="shared" si="8"/>
        <v>6127818.678785203</v>
      </c>
      <c r="P16" s="287">
        <f t="shared" si="8"/>
        <v>6127818.678785203</v>
      </c>
      <c r="Q16" s="287">
        <f t="shared" si="8"/>
        <v>6127818.678785203</v>
      </c>
      <c r="R16" s="287">
        <f t="shared" si="8"/>
        <v>6127818.678785203</v>
      </c>
      <c r="S16" s="287">
        <f t="shared" si="8"/>
        <v>6127818.678785203</v>
      </c>
      <c r="T16" s="287">
        <f t="shared" si="8"/>
        <v>6127818.678785203</v>
      </c>
      <c r="U16" s="287">
        <f t="shared" si="8"/>
        <v>6264107.9281912278</v>
      </c>
      <c r="V16" s="287">
        <f t="shared" si="8"/>
        <v>6264107.9281912278</v>
      </c>
      <c r="W16" s="287">
        <f t="shared" si="8"/>
        <v>6264107.9281912278</v>
      </c>
      <c r="X16" s="287">
        <f t="shared" si="8"/>
        <v>6264107.9281912278</v>
      </c>
      <c r="Y16" s="287">
        <f t="shared" si="8"/>
        <v>5731247.3159726989</v>
      </c>
      <c r="Z16" s="287">
        <f t="shared" si="8"/>
        <v>4801815.3409416657</v>
      </c>
      <c r="AA16" s="287">
        <f t="shared" si="8"/>
        <v>4841016.8714879733</v>
      </c>
      <c r="AB16" s="287">
        <f t="shared" si="8"/>
        <v>4841016.8714879733</v>
      </c>
      <c r="AC16" s="287">
        <f t="shared" si="8"/>
        <v>4841016.8714879733</v>
      </c>
      <c r="AD16" s="287">
        <f t="shared" si="8"/>
        <v>4841016.8714879733</v>
      </c>
      <c r="AE16" s="287">
        <f t="shared" si="8"/>
        <v>4712460.6513296496</v>
      </c>
      <c r="AF16" s="287">
        <f t="shared" si="8"/>
        <v>4712460.6513296496</v>
      </c>
      <c r="AG16" s="287">
        <f t="shared" si="8"/>
        <v>4712460.6513296496</v>
      </c>
      <c r="AH16" s="287">
        <f>AH14+AH15</f>
        <v>4712460.6513296496</v>
      </c>
    </row>
    <row r="17" spans="1:34" s="1" customFormat="1" ht="13.5" x14ac:dyDescent="0.25">
      <c r="A17" s="62" t="s">
        <v>133</v>
      </c>
      <c r="B17" s="61" t="s">
        <v>134</v>
      </c>
      <c r="C17" s="287">
        <v>0</v>
      </c>
      <c r="D17" s="287">
        <f t="shared" ref="D17:AG17" si="9">MAX(0,0.19*(D16-D9))</f>
        <v>0</v>
      </c>
      <c r="E17" s="287">
        <f t="shared" si="9"/>
        <v>0</v>
      </c>
      <c r="F17" s="287">
        <f t="shared" si="9"/>
        <v>0</v>
      </c>
      <c r="G17" s="287">
        <f t="shared" si="9"/>
        <v>0</v>
      </c>
      <c r="H17" s="287">
        <f t="shared" si="9"/>
        <v>0</v>
      </c>
      <c r="I17" s="287">
        <f t="shared" si="9"/>
        <v>0</v>
      </c>
      <c r="J17" s="287">
        <f t="shared" si="9"/>
        <v>0</v>
      </c>
      <c r="K17" s="287">
        <f>MAX(0,0.19*(K16-K9))</f>
        <v>0</v>
      </c>
      <c r="L17" s="287">
        <f t="shared" si="9"/>
        <v>0</v>
      </c>
      <c r="M17" s="287">
        <f t="shared" si="9"/>
        <v>0</v>
      </c>
      <c r="N17" s="287">
        <f t="shared" si="9"/>
        <v>0</v>
      </c>
      <c r="O17" s="287">
        <f t="shared" si="9"/>
        <v>0</v>
      </c>
      <c r="P17" s="287">
        <f t="shared" si="9"/>
        <v>0</v>
      </c>
      <c r="Q17" s="287">
        <f t="shared" si="9"/>
        <v>0</v>
      </c>
      <c r="R17" s="287">
        <f t="shared" si="9"/>
        <v>0</v>
      </c>
      <c r="S17" s="287">
        <f t="shared" si="9"/>
        <v>0</v>
      </c>
      <c r="T17" s="287">
        <f t="shared" si="9"/>
        <v>0</v>
      </c>
      <c r="U17" s="287">
        <f t="shared" si="9"/>
        <v>12109.82625183329</v>
      </c>
      <c r="V17" s="287">
        <f t="shared" si="9"/>
        <v>12109.82625183329</v>
      </c>
      <c r="W17" s="287">
        <f t="shared" si="9"/>
        <v>12109.82625183329</v>
      </c>
      <c r="X17" s="287">
        <f t="shared" si="9"/>
        <v>12109.82625183329</v>
      </c>
      <c r="Y17" s="287">
        <f t="shared" si="9"/>
        <v>1910.5099303127824</v>
      </c>
      <c r="Z17" s="287">
        <f t="shared" si="9"/>
        <v>7406.8346744164828</v>
      </c>
      <c r="AA17" s="287">
        <f t="shared" si="9"/>
        <v>14855.125478214919</v>
      </c>
      <c r="AB17" s="287">
        <f t="shared" si="9"/>
        <v>14855.125478214919</v>
      </c>
      <c r="AC17" s="287">
        <f t="shared" si="9"/>
        <v>14855.125478214919</v>
      </c>
      <c r="AD17" s="287">
        <f t="shared" si="9"/>
        <v>14855.125478214919</v>
      </c>
      <c r="AE17" s="287">
        <f t="shared" si="9"/>
        <v>0</v>
      </c>
      <c r="AF17" s="287">
        <f t="shared" si="9"/>
        <v>0</v>
      </c>
      <c r="AG17" s="287">
        <f t="shared" si="9"/>
        <v>0</v>
      </c>
      <c r="AH17" s="287">
        <f>MAX(0,0.19*(AH16-AH9))</f>
        <v>0</v>
      </c>
    </row>
    <row r="18" spans="1:34" s="1" customFormat="1" ht="13.5" x14ac:dyDescent="0.25">
      <c r="A18" s="62" t="s">
        <v>135</v>
      </c>
      <c r="B18" s="61" t="s">
        <v>136</v>
      </c>
      <c r="C18" s="287">
        <v>0</v>
      </c>
      <c r="D18" s="287">
        <v>0</v>
      </c>
      <c r="E18" s="287">
        <f t="shared" ref="E18:AE18" si="10">D18</f>
        <v>0</v>
      </c>
      <c r="F18" s="287">
        <f t="shared" si="10"/>
        <v>0</v>
      </c>
      <c r="G18" s="287">
        <f t="shared" si="10"/>
        <v>0</v>
      </c>
      <c r="H18" s="287">
        <f t="shared" si="10"/>
        <v>0</v>
      </c>
      <c r="I18" s="287">
        <f t="shared" si="10"/>
        <v>0</v>
      </c>
      <c r="J18" s="287">
        <f t="shared" si="10"/>
        <v>0</v>
      </c>
      <c r="K18" s="287">
        <f t="shared" si="10"/>
        <v>0</v>
      </c>
      <c r="L18" s="287">
        <f t="shared" si="10"/>
        <v>0</v>
      </c>
      <c r="M18" s="287">
        <f t="shared" si="10"/>
        <v>0</v>
      </c>
      <c r="N18" s="287">
        <f t="shared" si="10"/>
        <v>0</v>
      </c>
      <c r="O18" s="287">
        <f t="shared" si="10"/>
        <v>0</v>
      </c>
      <c r="P18" s="287">
        <f t="shared" si="10"/>
        <v>0</v>
      </c>
      <c r="Q18" s="287">
        <f t="shared" si="10"/>
        <v>0</v>
      </c>
      <c r="R18" s="287">
        <f t="shared" si="10"/>
        <v>0</v>
      </c>
      <c r="S18" s="287">
        <f t="shared" si="10"/>
        <v>0</v>
      </c>
      <c r="T18" s="287">
        <f t="shared" si="10"/>
        <v>0</v>
      </c>
      <c r="U18" s="287">
        <f t="shared" si="10"/>
        <v>0</v>
      </c>
      <c r="V18" s="287">
        <f t="shared" si="10"/>
        <v>0</v>
      </c>
      <c r="W18" s="287">
        <f t="shared" si="10"/>
        <v>0</v>
      </c>
      <c r="X18" s="287">
        <f t="shared" si="10"/>
        <v>0</v>
      </c>
      <c r="Y18" s="287">
        <f t="shared" si="10"/>
        <v>0</v>
      </c>
      <c r="Z18" s="287">
        <f t="shared" si="10"/>
        <v>0</v>
      </c>
      <c r="AA18" s="287">
        <f t="shared" si="10"/>
        <v>0</v>
      </c>
      <c r="AB18" s="287">
        <f t="shared" si="10"/>
        <v>0</v>
      </c>
      <c r="AC18" s="287">
        <f t="shared" si="10"/>
        <v>0</v>
      </c>
      <c r="AD18" s="287">
        <f t="shared" si="10"/>
        <v>0</v>
      </c>
      <c r="AE18" s="287">
        <f t="shared" si="10"/>
        <v>0</v>
      </c>
      <c r="AF18" s="287">
        <f>AE18</f>
        <v>0</v>
      </c>
      <c r="AG18" s="287">
        <f>AF18</f>
        <v>0</v>
      </c>
      <c r="AH18" s="287">
        <f>AG18</f>
        <v>0</v>
      </c>
    </row>
    <row r="19" spans="1:34" s="1" customFormat="1" ht="13.5" x14ac:dyDescent="0.25">
      <c r="A19" s="62" t="s">
        <v>137</v>
      </c>
      <c r="B19" s="61" t="s">
        <v>138</v>
      </c>
      <c r="C19" s="287">
        <f t="shared" ref="C19:AG19" si="11">C16-C17-C18</f>
        <v>0</v>
      </c>
      <c r="D19" s="287">
        <f t="shared" si="11"/>
        <v>0</v>
      </c>
      <c r="E19" s="287">
        <f t="shared" si="11"/>
        <v>0</v>
      </c>
      <c r="F19" s="287">
        <f t="shared" si="11"/>
        <v>-13003.869072645903</v>
      </c>
      <c r="G19" s="287">
        <f t="shared" si="11"/>
        <v>-19559.869072645903</v>
      </c>
      <c r="H19" s="287">
        <f t="shared" si="11"/>
        <v>-23625.909026801586</v>
      </c>
      <c r="I19" s="287">
        <f t="shared" si="11"/>
        <v>1375717.0521648526</v>
      </c>
      <c r="J19" s="287">
        <f t="shared" si="11"/>
        <v>1419855.7336773276</v>
      </c>
      <c r="K19" s="287">
        <f t="shared" si="11"/>
        <v>6127818.678785203</v>
      </c>
      <c r="L19" s="287">
        <f t="shared" si="11"/>
        <v>6127818.678785203</v>
      </c>
      <c r="M19" s="287">
        <f t="shared" si="11"/>
        <v>6127818.678785203</v>
      </c>
      <c r="N19" s="287">
        <f t="shared" si="11"/>
        <v>6127818.678785203</v>
      </c>
      <c r="O19" s="287">
        <f t="shared" si="11"/>
        <v>6127818.678785203</v>
      </c>
      <c r="P19" s="287">
        <f t="shared" si="11"/>
        <v>6127818.678785203</v>
      </c>
      <c r="Q19" s="287">
        <f t="shared" si="11"/>
        <v>6127818.678785203</v>
      </c>
      <c r="R19" s="287">
        <f t="shared" si="11"/>
        <v>6127818.678785203</v>
      </c>
      <c r="S19" s="287">
        <f t="shared" si="11"/>
        <v>6127818.678785203</v>
      </c>
      <c r="T19" s="287">
        <f t="shared" si="11"/>
        <v>6127818.678785203</v>
      </c>
      <c r="U19" s="287">
        <f t="shared" si="11"/>
        <v>6251998.1019393941</v>
      </c>
      <c r="V19" s="287">
        <f t="shared" si="11"/>
        <v>6251998.1019393941</v>
      </c>
      <c r="W19" s="287">
        <f t="shared" si="11"/>
        <v>6251998.1019393941</v>
      </c>
      <c r="X19" s="287">
        <f t="shared" si="11"/>
        <v>6251998.1019393941</v>
      </c>
      <c r="Y19" s="287">
        <f t="shared" si="11"/>
        <v>5729336.8060423862</v>
      </c>
      <c r="Z19" s="287">
        <f t="shared" si="11"/>
        <v>4794408.5062672496</v>
      </c>
      <c r="AA19" s="287">
        <f t="shared" si="11"/>
        <v>4826161.7460097587</v>
      </c>
      <c r="AB19" s="287">
        <f t="shared" si="11"/>
        <v>4826161.7460097587</v>
      </c>
      <c r="AC19" s="287">
        <f t="shared" si="11"/>
        <v>4826161.7460097587</v>
      </c>
      <c r="AD19" s="287">
        <f t="shared" si="11"/>
        <v>4826161.7460097587</v>
      </c>
      <c r="AE19" s="287">
        <f t="shared" si="11"/>
        <v>4712460.6513296496</v>
      </c>
      <c r="AF19" s="287">
        <f t="shared" si="11"/>
        <v>4712460.6513296496</v>
      </c>
      <c r="AG19" s="287">
        <f t="shared" si="11"/>
        <v>4712460.6513296496</v>
      </c>
      <c r="AH19" s="287">
        <f>AH16-AH17-AH18</f>
        <v>4712460.6513296496</v>
      </c>
    </row>
    <row r="20" spans="1:34" s="1" customFormat="1" ht="13.5" x14ac:dyDescent="0.25">
      <c r="A20" s="306" t="s">
        <v>109</v>
      </c>
      <c r="B20" s="307" t="s">
        <v>44</v>
      </c>
      <c r="C20" s="306">
        <f>C4</f>
        <v>2013</v>
      </c>
      <c r="D20" s="306">
        <f t="shared" ref="D20:AE20" si="12">D4</f>
        <v>2014</v>
      </c>
      <c r="E20" s="306">
        <f t="shared" si="12"/>
        <v>2015</v>
      </c>
      <c r="F20" s="306">
        <f t="shared" si="12"/>
        <v>2016</v>
      </c>
      <c r="G20" s="306">
        <f t="shared" si="12"/>
        <v>2017</v>
      </c>
      <c r="H20" s="306">
        <f t="shared" si="12"/>
        <v>2018</v>
      </c>
      <c r="I20" s="306">
        <f t="shared" si="12"/>
        <v>2019</v>
      </c>
      <c r="J20" s="306">
        <f t="shared" si="12"/>
        <v>2020</v>
      </c>
      <c r="K20" s="306">
        <f t="shared" si="12"/>
        <v>2021</v>
      </c>
      <c r="L20" s="306">
        <f t="shared" si="12"/>
        <v>2022</v>
      </c>
      <c r="M20" s="306">
        <f t="shared" si="12"/>
        <v>2023</v>
      </c>
      <c r="N20" s="306">
        <f t="shared" si="12"/>
        <v>2024</v>
      </c>
      <c r="O20" s="306">
        <f t="shared" si="12"/>
        <v>2025</v>
      </c>
      <c r="P20" s="306">
        <f t="shared" si="12"/>
        <v>2026</v>
      </c>
      <c r="Q20" s="306">
        <f t="shared" si="12"/>
        <v>2027</v>
      </c>
      <c r="R20" s="306">
        <f t="shared" si="12"/>
        <v>2028</v>
      </c>
      <c r="S20" s="306">
        <f t="shared" si="12"/>
        <v>2029</v>
      </c>
      <c r="T20" s="306">
        <f t="shared" si="12"/>
        <v>2030</v>
      </c>
      <c r="U20" s="306">
        <f t="shared" si="12"/>
        <v>2031</v>
      </c>
      <c r="V20" s="306">
        <f t="shared" si="12"/>
        <v>2032</v>
      </c>
      <c r="W20" s="306">
        <f t="shared" si="12"/>
        <v>2033</v>
      </c>
      <c r="X20" s="306">
        <f t="shared" si="12"/>
        <v>2034</v>
      </c>
      <c r="Y20" s="306">
        <f t="shared" si="12"/>
        <v>2035</v>
      </c>
      <c r="Z20" s="306">
        <f t="shared" si="12"/>
        <v>2036</v>
      </c>
      <c r="AA20" s="306">
        <f t="shared" si="12"/>
        <v>2037</v>
      </c>
      <c r="AB20" s="306">
        <f t="shared" si="12"/>
        <v>2038</v>
      </c>
      <c r="AC20" s="306">
        <f t="shared" si="12"/>
        <v>2039</v>
      </c>
      <c r="AD20" s="306">
        <f t="shared" si="12"/>
        <v>2040</v>
      </c>
      <c r="AE20" s="306">
        <f t="shared" si="12"/>
        <v>2041</v>
      </c>
      <c r="AF20" s="306">
        <f>AF4</f>
        <v>2042</v>
      </c>
      <c r="AG20" s="306">
        <f>AG4</f>
        <v>2043</v>
      </c>
      <c r="AH20" s="306">
        <f>AH4</f>
        <v>2044</v>
      </c>
    </row>
    <row r="21" spans="1:34" s="1" customFormat="1" ht="13.5" x14ac:dyDescent="0.25">
      <c r="A21" s="285"/>
      <c r="B21" s="286" t="s">
        <v>139</v>
      </c>
      <c r="C21" s="286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</row>
    <row r="22" spans="1:34" s="1" customFormat="1" ht="27" x14ac:dyDescent="0.25">
      <c r="A22" s="289" t="s">
        <v>111</v>
      </c>
      <c r="B22" s="290" t="s">
        <v>140</v>
      </c>
      <c r="C22" s="291">
        <f>C23+C24</f>
        <v>0</v>
      </c>
      <c r="D22" s="291">
        <f t="shared" ref="D22:AE22" si="13">D23+D24</f>
        <v>0</v>
      </c>
      <c r="E22" s="291">
        <f t="shared" si="13"/>
        <v>0</v>
      </c>
      <c r="F22" s="291">
        <f t="shared" si="13"/>
        <v>166009.51155152021</v>
      </c>
      <c r="G22" s="291">
        <f t="shared" si="13"/>
        <v>-19559.869072645903</v>
      </c>
      <c r="H22" s="291">
        <f t="shared" si="13"/>
        <v>-14547.501351800689</v>
      </c>
      <c r="I22" s="291">
        <f t="shared" si="13"/>
        <v>3084215.6517148516</v>
      </c>
      <c r="J22" s="291">
        <f t="shared" si="13"/>
        <v>3191903.1869523255</v>
      </c>
      <c r="K22" s="291">
        <f t="shared" si="13"/>
        <v>14195872.16374681</v>
      </c>
      <c r="L22" s="291">
        <f t="shared" si="13"/>
        <v>12478807.003235202</v>
      </c>
      <c r="M22" s="291">
        <f t="shared" si="13"/>
        <v>12478807.003235202</v>
      </c>
      <c r="N22" s="291">
        <f t="shared" si="13"/>
        <v>12478807.003235202</v>
      </c>
      <c r="O22" s="291">
        <f t="shared" si="13"/>
        <v>12478807.003235202</v>
      </c>
      <c r="P22" s="291">
        <f t="shared" si="13"/>
        <v>12478807.003235202</v>
      </c>
      <c r="Q22" s="291">
        <f t="shared" si="13"/>
        <v>12478807.003235202</v>
      </c>
      <c r="R22" s="291">
        <f t="shared" si="13"/>
        <v>12478807.003235202</v>
      </c>
      <c r="S22" s="291">
        <f t="shared" si="13"/>
        <v>12478807.003235202</v>
      </c>
      <c r="T22" s="291">
        <f t="shared" si="13"/>
        <v>12478807.003235202</v>
      </c>
      <c r="U22" s="291">
        <f t="shared" si="13"/>
        <v>13178401.700775504</v>
      </c>
      <c r="V22" s="291">
        <f t="shared" si="13"/>
        <v>13124348.192639396</v>
      </c>
      <c r="W22" s="291">
        <f t="shared" si="13"/>
        <v>13124348.192639396</v>
      </c>
      <c r="X22" s="291">
        <f t="shared" si="13"/>
        <v>13124348.192639396</v>
      </c>
      <c r="Y22" s="291">
        <f t="shared" si="13"/>
        <v>12026728.764231276</v>
      </c>
      <c r="Z22" s="291">
        <f t="shared" si="13"/>
        <v>10601437.606331134</v>
      </c>
      <c r="AA22" s="291">
        <f t="shared" si="13"/>
        <v>13477758.934237536</v>
      </c>
      <c r="AB22" s="291">
        <f t="shared" si="13"/>
        <v>13267413.602959756</v>
      </c>
      <c r="AC22" s="291">
        <f t="shared" si="13"/>
        <v>13267413.602959756</v>
      </c>
      <c r="AD22" s="291">
        <f t="shared" si="13"/>
        <v>13267413.602959756</v>
      </c>
      <c r="AE22" s="291">
        <f t="shared" si="13"/>
        <v>13707359.661879649</v>
      </c>
      <c r="AF22" s="291">
        <f>AF23+AF24</f>
        <v>13675074.274529649</v>
      </c>
      <c r="AG22" s="291">
        <f>AG23+AG24</f>
        <v>13675074.274529649</v>
      </c>
      <c r="AH22" s="291">
        <f>AH23+AH24</f>
        <v>13675074.274529649</v>
      </c>
    </row>
    <row r="23" spans="1:34" s="1" customFormat="1" ht="13.5" x14ac:dyDescent="0.25">
      <c r="A23" s="7" t="s">
        <v>127</v>
      </c>
      <c r="B23" s="288" t="s">
        <v>141</v>
      </c>
      <c r="C23" s="56">
        <f>C19</f>
        <v>0</v>
      </c>
      <c r="D23" s="56">
        <f t="shared" ref="D23:AE23" si="14">D19</f>
        <v>0</v>
      </c>
      <c r="E23" s="56">
        <f t="shared" si="14"/>
        <v>0</v>
      </c>
      <c r="F23" s="56">
        <f t="shared" si="14"/>
        <v>-13003.869072645903</v>
      </c>
      <c r="G23" s="56">
        <f t="shared" si="14"/>
        <v>-19559.869072645903</v>
      </c>
      <c r="H23" s="56">
        <f t="shared" si="14"/>
        <v>-23625.909026801586</v>
      </c>
      <c r="I23" s="56">
        <f t="shared" si="14"/>
        <v>1375717.0521648526</v>
      </c>
      <c r="J23" s="56">
        <f t="shared" si="14"/>
        <v>1419855.7336773276</v>
      </c>
      <c r="K23" s="56">
        <f t="shared" si="14"/>
        <v>6127818.678785203</v>
      </c>
      <c r="L23" s="56">
        <f t="shared" si="14"/>
        <v>6127818.678785203</v>
      </c>
      <c r="M23" s="56">
        <f t="shared" si="14"/>
        <v>6127818.678785203</v>
      </c>
      <c r="N23" s="56">
        <f t="shared" si="14"/>
        <v>6127818.678785203</v>
      </c>
      <c r="O23" s="56">
        <f t="shared" si="14"/>
        <v>6127818.678785203</v>
      </c>
      <c r="P23" s="56">
        <f t="shared" si="14"/>
        <v>6127818.678785203</v>
      </c>
      <c r="Q23" s="56">
        <f t="shared" si="14"/>
        <v>6127818.678785203</v>
      </c>
      <c r="R23" s="56">
        <f t="shared" si="14"/>
        <v>6127818.678785203</v>
      </c>
      <c r="S23" s="56">
        <f t="shared" si="14"/>
        <v>6127818.678785203</v>
      </c>
      <c r="T23" s="56">
        <f t="shared" si="14"/>
        <v>6127818.678785203</v>
      </c>
      <c r="U23" s="56">
        <f t="shared" si="14"/>
        <v>6251998.1019393941</v>
      </c>
      <c r="V23" s="56">
        <f t="shared" si="14"/>
        <v>6251998.1019393941</v>
      </c>
      <c r="W23" s="56">
        <f t="shared" si="14"/>
        <v>6251998.1019393941</v>
      </c>
      <c r="X23" s="56">
        <f t="shared" si="14"/>
        <v>6251998.1019393941</v>
      </c>
      <c r="Y23" s="56">
        <f t="shared" si="14"/>
        <v>5729336.8060423862</v>
      </c>
      <c r="Z23" s="56">
        <f t="shared" si="14"/>
        <v>4794408.5062672496</v>
      </c>
      <c r="AA23" s="56">
        <f t="shared" si="14"/>
        <v>4826161.7460097587</v>
      </c>
      <c r="AB23" s="56">
        <f t="shared" si="14"/>
        <v>4826161.7460097587</v>
      </c>
      <c r="AC23" s="56">
        <f t="shared" si="14"/>
        <v>4826161.7460097587</v>
      </c>
      <c r="AD23" s="56">
        <f t="shared" si="14"/>
        <v>4826161.7460097587</v>
      </c>
      <c r="AE23" s="56">
        <f t="shared" si="14"/>
        <v>4712460.6513296496</v>
      </c>
      <c r="AF23" s="56">
        <f>AF19</f>
        <v>4712460.6513296496</v>
      </c>
      <c r="AG23" s="56">
        <f>AG19</f>
        <v>4712460.6513296496</v>
      </c>
      <c r="AH23" s="56">
        <f>AH19</f>
        <v>4712460.6513296496</v>
      </c>
    </row>
    <row r="24" spans="1:34" s="1" customFormat="1" ht="13.5" x14ac:dyDescent="0.25">
      <c r="A24" s="7" t="s">
        <v>142</v>
      </c>
      <c r="B24" s="288" t="s">
        <v>143</v>
      </c>
      <c r="C24" s="56">
        <f>SUM(C25:C34)</f>
        <v>0</v>
      </c>
      <c r="D24" s="56">
        <f>SUM(D25:D34)</f>
        <v>0</v>
      </c>
      <c r="E24" s="56">
        <f t="shared" ref="E24:AE24" si="15">SUM(E25:E34)</f>
        <v>0</v>
      </c>
      <c r="F24" s="56">
        <f>SUM(F25:F34)</f>
        <v>179013.38062416611</v>
      </c>
      <c r="G24" s="56">
        <f t="shared" si="15"/>
        <v>0</v>
      </c>
      <c r="H24" s="56">
        <f t="shared" si="15"/>
        <v>9078.4076750008971</v>
      </c>
      <c r="I24" s="56">
        <f t="shared" si="15"/>
        <v>1708498.599549999</v>
      </c>
      <c r="J24" s="56">
        <f t="shared" si="15"/>
        <v>1772047.4532749979</v>
      </c>
      <c r="K24" s="56">
        <f t="shared" si="15"/>
        <v>8068053.4849616066</v>
      </c>
      <c r="L24" s="56">
        <f t="shared" si="15"/>
        <v>6350988.3244499993</v>
      </c>
      <c r="M24" s="56">
        <f t="shared" si="15"/>
        <v>6350988.3244499993</v>
      </c>
      <c r="N24" s="56">
        <f t="shared" si="15"/>
        <v>6350988.3244499993</v>
      </c>
      <c r="O24" s="56">
        <f t="shared" si="15"/>
        <v>6350988.3244499993</v>
      </c>
      <c r="P24" s="56">
        <f t="shared" si="15"/>
        <v>6350988.3244499993</v>
      </c>
      <c r="Q24" s="56">
        <f t="shared" si="15"/>
        <v>6350988.3244499993</v>
      </c>
      <c r="R24" s="56">
        <f t="shared" si="15"/>
        <v>6350988.3244499993</v>
      </c>
      <c r="S24" s="56">
        <f t="shared" si="15"/>
        <v>6350988.3244499993</v>
      </c>
      <c r="T24" s="56">
        <f t="shared" si="15"/>
        <v>6350988.3244499993</v>
      </c>
      <c r="U24" s="56">
        <f t="shared" si="15"/>
        <v>6926403.5988361109</v>
      </c>
      <c r="V24" s="56">
        <f t="shared" si="15"/>
        <v>6872350.0907000005</v>
      </c>
      <c r="W24" s="56">
        <f t="shared" si="15"/>
        <v>6872350.0907000005</v>
      </c>
      <c r="X24" s="56">
        <f t="shared" si="15"/>
        <v>6872350.0907000005</v>
      </c>
      <c r="Y24" s="56">
        <f t="shared" si="15"/>
        <v>6297391.9581888895</v>
      </c>
      <c r="Z24" s="56">
        <f t="shared" si="15"/>
        <v>5807029.1000638846</v>
      </c>
      <c r="AA24" s="56">
        <f t="shared" si="15"/>
        <v>8651597.1882277764</v>
      </c>
      <c r="AB24" s="56">
        <f t="shared" si="15"/>
        <v>8441251.8569499981</v>
      </c>
      <c r="AC24" s="56">
        <f t="shared" si="15"/>
        <v>8441251.8569499981</v>
      </c>
      <c r="AD24" s="56">
        <f t="shared" si="15"/>
        <v>8441251.8569499981</v>
      </c>
      <c r="AE24" s="56">
        <f t="shared" si="15"/>
        <v>8994899.0105499998</v>
      </c>
      <c r="AF24" s="56">
        <f>SUM(AF25:AF34)</f>
        <v>8962613.6231999993</v>
      </c>
      <c r="AG24" s="56">
        <f>SUM(AG25:AG34)</f>
        <v>8962613.6231999993</v>
      </c>
      <c r="AH24" s="56">
        <f>SUM(AH25:AH34)</f>
        <v>8962613.6231999993</v>
      </c>
    </row>
    <row r="25" spans="1:34" s="1" customFormat="1" ht="13.5" x14ac:dyDescent="0.25">
      <c r="A25" s="292" t="s">
        <v>144</v>
      </c>
      <c r="B25" s="293" t="s">
        <v>145</v>
      </c>
      <c r="C25" s="294">
        <f>'Obliczenia-AF'!B20+'Obliczenia-AF'!B24+'Obliczenia-AF'!B28+'Obliczenia-AF'!B32</f>
        <v>0</v>
      </c>
      <c r="D25" s="294">
        <f>'Obliczenia-AF'!C20+'Obliczenia-AF'!C24+'Obliczenia-AF'!C28+'Obliczenia-AF'!C32</f>
        <v>0</v>
      </c>
      <c r="E25" s="294">
        <f>'Obliczenia-AF'!D20+'Obliczenia-AF'!D24+'Obliczenia-AF'!D28+'Obliczenia-AF'!D32</f>
        <v>0</v>
      </c>
      <c r="F25" s="294">
        <f>'Obliczenia-AF'!E20+'Obliczenia-AF'!E24+'Obliczenia-AF'!E28+'Obliczenia-AF'!E32</f>
        <v>0</v>
      </c>
      <c r="G25" s="294">
        <f>'Obliczenia-AF'!F20+'Obliczenia-AF'!F24+'Obliczenia-AF'!F28+'Obliczenia-AF'!F32</f>
        <v>0</v>
      </c>
      <c r="H25" s="294">
        <f>'Obliczenia-AF'!G20+'Obliczenia-AF'!G24+'Obliczenia-AF'!G28+'Obliczenia-AF'!G32</f>
        <v>0</v>
      </c>
      <c r="I25" s="294">
        <f>'Obliczenia-AF'!H20+'Obliczenia-AF'!H24+'Obliczenia-AF'!H28+'Obliczenia-AF'!H32</f>
        <v>2910000</v>
      </c>
      <c r="J25" s="294">
        <f>'Obliczenia-AF'!I20+'Obliczenia-AF'!I24+'Obliczenia-AF'!I28+'Obliczenia-AF'!I32</f>
        <v>2910000</v>
      </c>
      <c r="K25" s="294">
        <f>'Obliczenia-AF'!J20+'Obliczenia-AF'!J24+'Obliczenia-AF'!J28+'Obliczenia-AF'!J32</f>
        <v>12551360.324999999</v>
      </c>
      <c r="L25" s="294">
        <f>'Obliczenia-AF'!K20+'Obliczenia-AF'!K24+'Obliczenia-AF'!K28+'Obliczenia-AF'!K32</f>
        <v>12551360.324999999</v>
      </c>
      <c r="M25" s="294">
        <f>'Obliczenia-AF'!L20+'Obliczenia-AF'!L24+'Obliczenia-AF'!L28+'Obliczenia-AF'!L32</f>
        <v>12551360.324999999</v>
      </c>
      <c r="N25" s="294">
        <f>'Obliczenia-AF'!M20+'Obliczenia-AF'!M24+'Obliczenia-AF'!M28+'Obliczenia-AF'!M32</f>
        <v>12551360.324999999</v>
      </c>
      <c r="O25" s="294">
        <f>'Obliczenia-AF'!N20+'Obliczenia-AF'!N24+'Obliczenia-AF'!N28+'Obliczenia-AF'!N32</f>
        <v>12551360.324999999</v>
      </c>
      <c r="P25" s="294">
        <f>'Obliczenia-AF'!O20+'Obliczenia-AF'!O24+'Obliczenia-AF'!O28+'Obliczenia-AF'!O32</f>
        <v>12551360.324999999</v>
      </c>
      <c r="Q25" s="294">
        <f>'Obliczenia-AF'!P20+'Obliczenia-AF'!P24+'Obliczenia-AF'!P28+'Obliczenia-AF'!P32</f>
        <v>12551360.324999999</v>
      </c>
      <c r="R25" s="294">
        <f>'Obliczenia-AF'!Q20+'Obliczenia-AF'!Q24+'Obliczenia-AF'!Q28+'Obliczenia-AF'!Q32</f>
        <v>12551360.324999999</v>
      </c>
      <c r="S25" s="294">
        <f>'Obliczenia-AF'!R20+'Obliczenia-AF'!R24+'Obliczenia-AF'!R28+'Obliczenia-AF'!R32</f>
        <v>12551360.324999999</v>
      </c>
      <c r="T25" s="294">
        <f>'Obliczenia-AF'!S20+'Obliczenia-AF'!S24+'Obliczenia-AF'!S28+'Obliczenia-AF'!S32</f>
        <v>12551360.324999999</v>
      </c>
      <c r="U25" s="294">
        <f>'Obliczenia-AF'!T20+'Obliczenia-AF'!T24+'Obliczenia-AF'!T28+'Obliczenia-AF'!T32</f>
        <v>13072722.091250001</v>
      </c>
      <c r="V25" s="294">
        <f>'Obliczenia-AF'!U20+'Obliczenia-AF'!U24+'Obliczenia-AF'!U28+'Obliczenia-AF'!U32</f>
        <v>13072722.091250001</v>
      </c>
      <c r="W25" s="294">
        <f>'Obliczenia-AF'!V20+'Obliczenia-AF'!V24+'Obliczenia-AF'!V28+'Obliczenia-AF'!V32</f>
        <v>13072722.091250001</v>
      </c>
      <c r="X25" s="294">
        <f>'Obliczenia-AF'!W20+'Obliczenia-AF'!W24+'Obliczenia-AF'!W28+'Obliczenia-AF'!W32</f>
        <v>13072722.091250001</v>
      </c>
      <c r="Y25" s="294">
        <f>'Obliczenia-AF'!X20+'Obliczenia-AF'!X24+'Obliczenia-AF'!X28+'Obliczenia-AF'!X32</f>
        <v>12102722.091250001</v>
      </c>
      <c r="Z25" s="294">
        <f>'Obliczenia-AF'!Y20+'Obliczenia-AF'!Y24+'Obliczenia-AF'!Y28+'Obliczenia-AF'!Y32</f>
        <v>10684083.857499998</v>
      </c>
      <c r="AA25" s="294">
        <f>'Obliczenia-AF'!Z20+'Obliczenia-AF'!Z24+'Obliczenia-AF'!Z28+'Obliczenia-AF'!Z32</f>
        <v>13204083.857499998</v>
      </c>
      <c r="AB25" s="294">
        <f>'Obliczenia-AF'!AA20+'Obliczenia-AF'!AA24+'Obliczenia-AF'!AA28+'Obliczenia-AF'!AA32</f>
        <v>13204083.857499998</v>
      </c>
      <c r="AC25" s="294">
        <f>'Obliczenia-AF'!AB20+'Obliczenia-AF'!AB24+'Obliczenia-AF'!AB28+'Obliczenia-AF'!AB32</f>
        <v>13204083.857499998</v>
      </c>
      <c r="AD25" s="294">
        <f>'Obliczenia-AF'!AC20+'Obliczenia-AF'!AC24+'Obliczenia-AF'!AC28+'Obliczenia-AF'!AC32</f>
        <v>13204083.857499998</v>
      </c>
      <c r="AE25" s="294">
        <f>'Obliczenia-AF'!AD20+'Obliczenia-AF'!AD24+'Obliczenia-AF'!AD28+'Obliczenia-AF'!AD32</f>
        <v>13725445.623749999</v>
      </c>
      <c r="AF25" s="294">
        <f>'Obliczenia-AF'!AE20+'Obliczenia-AF'!AE24+'Obliczenia-AF'!AE28+'Obliczenia-AF'!AE32</f>
        <v>13725445.623749999</v>
      </c>
      <c r="AG25" s="294">
        <f>'Obliczenia-AF'!AF20+'Obliczenia-AF'!AF24+'Obliczenia-AF'!AF28+'Obliczenia-AF'!AF32</f>
        <v>13725445.623749999</v>
      </c>
      <c r="AH25" s="294">
        <f>'Obliczenia-AF'!AG20+'Obliczenia-AF'!AG24+'Obliczenia-AF'!AG28+'Obliczenia-AF'!AG32</f>
        <v>13725445.623749999</v>
      </c>
    </row>
    <row r="26" spans="1:34" s="1" customFormat="1" ht="13.5" x14ac:dyDescent="0.25">
      <c r="A26" s="292" t="s">
        <v>146</v>
      </c>
      <c r="B26" s="295" t="s">
        <v>147</v>
      </c>
      <c r="C26" s="29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</row>
    <row r="27" spans="1:34" s="1" customFormat="1" ht="13.5" x14ac:dyDescent="0.25">
      <c r="A27" s="292" t="s">
        <v>148</v>
      </c>
      <c r="B27" s="295" t="s">
        <v>149</v>
      </c>
      <c r="C27" s="295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</row>
    <row r="28" spans="1:34" s="1" customFormat="1" ht="13.5" x14ac:dyDescent="0.25">
      <c r="A28" s="292" t="s">
        <v>150</v>
      </c>
      <c r="B28" s="295" t="s">
        <v>151</v>
      </c>
      <c r="C28" s="295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</row>
    <row r="29" spans="1:34" s="1" customFormat="1" ht="13.5" x14ac:dyDescent="0.25">
      <c r="A29" s="292" t="s">
        <v>152</v>
      </c>
      <c r="B29" s="295" t="s">
        <v>153</v>
      </c>
      <c r="C29" s="29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4" s="1" customFormat="1" ht="13.5" x14ac:dyDescent="0.25">
      <c r="A30" s="292" t="s">
        <v>154</v>
      </c>
      <c r="B30" s="295" t="s">
        <v>155</v>
      </c>
      <c r="C30" s="297">
        <f>'Założenia-dane wejściowe '!C304</f>
        <v>0</v>
      </c>
      <c r="D30" s="296">
        <f>'Założenia-dane wejściowe '!D304-'Założenia-dane wejściowe '!C304</f>
        <v>0</v>
      </c>
      <c r="E30" s="296">
        <f>'Założenia-dane wejściowe '!E304-'Założenia-dane wejściowe '!D304</f>
        <v>0</v>
      </c>
      <c r="F30" s="296">
        <f>'Założenia-dane wejściowe '!F304-'Założenia-dane wejściowe '!E304</f>
        <v>32219.178082191782</v>
      </c>
      <c r="G30" s="296">
        <f>'Założenia-dane wejściowe '!G304-'Założenia-dane wejściowe '!F304</f>
        <v>0</v>
      </c>
      <c r="H30" s="296">
        <f>'Założenia-dane wejściowe '!H304-'Założenia-dane wejściowe '!G304</f>
        <v>0</v>
      </c>
      <c r="I30" s="296">
        <f>'Założenia-dane wejściowe '!I304-'Założenia-dane wejściowe '!H304</f>
        <v>0</v>
      </c>
      <c r="J30" s="296">
        <f>'Założenia-dane wejściowe '!J304-'Założenia-dane wejściowe '!I304</f>
        <v>0</v>
      </c>
      <c r="K30" s="296">
        <f>'Założenia-dane wejściowe '!K304-'Założenia-dane wejściowe '!J304</f>
        <v>683587.64931506861</v>
      </c>
      <c r="L30" s="296">
        <f>'Założenia-dane wejściowe '!L304-'Założenia-dane wejściowe '!K304</f>
        <v>0</v>
      </c>
      <c r="M30" s="296">
        <f>'Założenia-dane wejściowe '!M304-'Założenia-dane wejściowe '!L304</f>
        <v>0</v>
      </c>
      <c r="N30" s="296">
        <f>'Założenia-dane wejściowe '!N304-'Założenia-dane wejściowe '!M304</f>
        <v>0</v>
      </c>
      <c r="O30" s="296">
        <f>'Założenia-dane wejściowe '!O304-'Założenia-dane wejściowe '!N304</f>
        <v>0</v>
      </c>
      <c r="P30" s="296">
        <f>'Założenia-dane wejściowe '!P304-'Założenia-dane wejściowe '!O304</f>
        <v>0</v>
      </c>
      <c r="Q30" s="296">
        <f>'Założenia-dane wejściowe '!Q304-'Założenia-dane wejściowe '!P304</f>
        <v>0</v>
      </c>
      <c r="R30" s="296">
        <f>'Założenia-dane wejściowe '!R304-'Założenia-dane wejściowe '!Q304</f>
        <v>0</v>
      </c>
      <c r="S30" s="296">
        <f>'Założenia-dane wejściowe '!S304-'Założenia-dane wejściowe '!R304</f>
        <v>0</v>
      </c>
      <c r="T30" s="296">
        <f>'Założenia-dane wejściowe '!T304-'Założenia-dane wejściowe '!S304</f>
        <v>0</v>
      </c>
      <c r="U30" s="296">
        <f>'Założenia-dane wejściowe '!U304-'Założenia-dane wejściowe '!T304</f>
        <v>0</v>
      </c>
      <c r="V30" s="296">
        <f>'Założenia-dane wejściowe '!V304-'Założenia-dane wejściowe '!U304</f>
        <v>0</v>
      </c>
      <c r="W30" s="296">
        <f>'Założenia-dane wejściowe '!W304-'Założenia-dane wejściowe '!V304</f>
        <v>0</v>
      </c>
      <c r="X30" s="296">
        <f>'Założenia-dane wejściowe '!X304-'Założenia-dane wejściowe '!W304</f>
        <v>0</v>
      </c>
      <c r="Y30" s="296">
        <f>'Założenia-dane wejściowe '!Y304-'Założenia-dane wejściowe '!X304</f>
        <v>0</v>
      </c>
      <c r="Z30" s="296">
        <f>'Założenia-dane wejściowe '!Z304-'Założenia-dane wejściowe '!Y304</f>
        <v>0</v>
      </c>
      <c r="AA30" s="296">
        <f>'Założenia-dane wejściowe '!AA304-'Założenia-dane wejściowe '!Z304</f>
        <v>0</v>
      </c>
      <c r="AB30" s="296">
        <f>'Założenia-dane wejściowe '!AB304-'Założenia-dane wejściowe '!AA304</f>
        <v>0</v>
      </c>
      <c r="AC30" s="296">
        <f>'Założenia-dane wejściowe '!AC304-'Założenia-dane wejściowe '!AB304</f>
        <v>0</v>
      </c>
      <c r="AD30" s="296">
        <f>'Założenia-dane wejściowe '!AD304-'Założenia-dane wejściowe '!AC304</f>
        <v>0</v>
      </c>
      <c r="AE30" s="296">
        <f>'Założenia-dane wejściowe '!AE304-'Założenia-dane wejściowe '!AD304</f>
        <v>0</v>
      </c>
      <c r="AF30" s="296">
        <f>'Założenia-dane wejściowe '!AF304-'Założenia-dane wejściowe '!AE304</f>
        <v>0</v>
      </c>
      <c r="AG30" s="296">
        <f>'Założenia-dane wejściowe '!AG304-'Założenia-dane wejściowe '!AF304</f>
        <v>0</v>
      </c>
      <c r="AH30" s="296">
        <f>'Założenia-dane wejściowe '!AH304-'Założenia-dane wejściowe '!AG304</f>
        <v>0</v>
      </c>
    </row>
    <row r="31" spans="1:34" s="1" customFormat="1" ht="13.5" x14ac:dyDescent="0.25">
      <c r="A31" s="292" t="s">
        <v>156</v>
      </c>
      <c r="B31" s="295" t="s">
        <v>157</v>
      </c>
      <c r="C31" s="298">
        <f>'Założenia-dane wejściowe '!C303</f>
        <v>0</v>
      </c>
      <c r="D31" s="296">
        <f>'Założenia-dane wejściowe '!D303-'Założenia-dane wejściowe '!C303</f>
        <v>0</v>
      </c>
      <c r="E31" s="296">
        <f>'Założenia-dane wejściowe '!E303-'Założenia-dane wejściowe '!D303</f>
        <v>0</v>
      </c>
      <c r="F31" s="296">
        <f>'Założenia-dane wejściowe '!F303-'Założenia-dane wejściowe '!E303</f>
        <v>174985.98336389213</v>
      </c>
      <c r="G31" s="296">
        <f>'Założenia-dane wejściowe '!G303-'Założenia-dane wejściowe '!F303</f>
        <v>0</v>
      </c>
      <c r="H31" s="296">
        <f>'Założenia-dane wejściowe '!H303-'Założenia-dane wejściowe '!G303</f>
        <v>9078.4076750008971</v>
      </c>
      <c r="I31" s="296">
        <f>'Założenia-dane wejściowe '!I303-'Założenia-dane wejściowe '!H303</f>
        <v>236038.59954999899</v>
      </c>
      <c r="J31" s="296">
        <f>'Założenia-dane wejściowe '!J303-'Założenia-dane wejściowe '!I303</f>
        <v>299587.45327499788</v>
      </c>
      <c r="K31" s="296">
        <f>'Założenia-dane wejściowe '!K303-'Założenia-dane wejściowe '!J303</f>
        <v>1631616.7043472228</v>
      </c>
      <c r="L31" s="296">
        <f>'Założenia-dane wejściowe '!L303-'Założenia-dane wejściowe '!K303</f>
        <v>0</v>
      </c>
      <c r="M31" s="296">
        <f>'Założenia-dane wejściowe '!M303-'Założenia-dane wejściowe '!L303</f>
        <v>0</v>
      </c>
      <c r="N31" s="296">
        <f>'Założenia-dane wejściowe '!N303-'Założenia-dane wejściowe '!M303</f>
        <v>0</v>
      </c>
      <c r="O31" s="296">
        <f>'Założenia-dane wejściowe '!O303-'Założenia-dane wejściowe '!N303</f>
        <v>0</v>
      </c>
      <c r="P31" s="296">
        <f>'Założenia-dane wejściowe '!P303-'Założenia-dane wejściowe '!O303</f>
        <v>0</v>
      </c>
      <c r="Q31" s="296">
        <f>'Założenia-dane wejściowe '!Q303-'Założenia-dane wejściowe '!P303</f>
        <v>0</v>
      </c>
      <c r="R31" s="296">
        <f>'Założenia-dane wejściowe '!R303-'Założenia-dane wejściowe '!Q303</f>
        <v>0</v>
      </c>
      <c r="S31" s="296">
        <f>'Założenia-dane wejściowe '!S303-'Założenia-dane wejściowe '!R303</f>
        <v>0</v>
      </c>
      <c r="T31" s="296">
        <f>'Założenia-dane wejściowe '!T303-'Założenia-dane wejściowe '!S303</f>
        <v>0</v>
      </c>
      <c r="U31" s="296">
        <f>'Założenia-dane wejściowe '!U303-'Założenia-dane wejściowe '!T303</f>
        <v>54053.508136111312</v>
      </c>
      <c r="V31" s="296">
        <f>'Założenia-dane wejściowe '!V303-'Założenia-dane wejściowe '!U303</f>
        <v>0</v>
      </c>
      <c r="W31" s="296">
        <f>'Założenia-dane wejściowe '!W303-'Założenia-dane wejściowe '!V303</f>
        <v>0</v>
      </c>
      <c r="X31" s="296">
        <f>'Założenia-dane wejściowe '!X303-'Założenia-dane wejściowe '!W303</f>
        <v>0</v>
      </c>
      <c r="Y31" s="296">
        <f>'Założenia-dane wejściowe '!Y303-'Założenia-dane wejściowe '!X303</f>
        <v>-84138.132511111442</v>
      </c>
      <c r="Z31" s="296">
        <f>'Założenia-dane wejściowe '!Z303-'Założenia-dane wejściowe '!Y303</f>
        <v>-114222.75688611297</v>
      </c>
      <c r="AA31" s="296">
        <f>'Założenia-dane wejściowe '!AA303-'Założenia-dane wejściowe '!Z303</f>
        <v>210345.33127777884</v>
      </c>
      <c r="AB31" s="296">
        <f>'Założenia-dane wejściowe '!AB303-'Założenia-dane wejściowe '!AA303</f>
        <v>0</v>
      </c>
      <c r="AC31" s="296">
        <f>'Założenia-dane wejściowe '!AC303-'Założenia-dane wejściowe '!AB303</f>
        <v>0</v>
      </c>
      <c r="AD31" s="296">
        <f>'Założenia-dane wejściowe '!AD303-'Założenia-dane wejściowe '!AC303</f>
        <v>0</v>
      </c>
      <c r="AE31" s="296">
        <f>'Założenia-dane wejściowe '!AE303-'Założenia-dane wejściowe '!AD303</f>
        <v>32285.387350000907</v>
      </c>
      <c r="AF31" s="296">
        <f>'Założenia-dane wejściowe '!AF303-'Założenia-dane wejściowe '!AE303</f>
        <v>0</v>
      </c>
      <c r="AG31" s="296">
        <f>'Założenia-dane wejściowe '!AG303-'Założenia-dane wejściowe '!AF303</f>
        <v>0</v>
      </c>
      <c r="AH31" s="296">
        <f>'Założenia-dane wejściowe '!AH303-'Założenia-dane wejściowe '!AG303</f>
        <v>0</v>
      </c>
    </row>
    <row r="32" spans="1:34" s="1" customFormat="1" ht="27" x14ac:dyDescent="0.25">
      <c r="A32" s="292" t="s">
        <v>158</v>
      </c>
      <c r="B32" s="295" t="s">
        <v>159</v>
      </c>
      <c r="C32" s="298">
        <f>'Założenia-dane wejściowe '!C305</f>
        <v>0</v>
      </c>
      <c r="D32" s="296">
        <f>-'Założenia-dane wejściowe '!D305-(-'Założenia-dane wejściowe '!C305)</f>
        <v>0</v>
      </c>
      <c r="E32" s="296">
        <f>-'Założenia-dane wejściowe '!E305-(-'Założenia-dane wejściowe '!D305)</f>
        <v>0</v>
      </c>
      <c r="F32" s="296">
        <f>-'Założenia-dane wejściowe '!F305-(-'Założenia-dane wejściowe '!E305)</f>
        <v>-28191.780821917808</v>
      </c>
      <c r="G32" s="296">
        <f>-'Założenia-dane wejściowe '!G305-(-'Założenia-dane wejściowe '!F305)</f>
        <v>0</v>
      </c>
      <c r="H32" s="296">
        <f>-'Założenia-dane wejściowe '!H305-(-'Założenia-dane wejściowe '!G305)</f>
        <v>0</v>
      </c>
      <c r="I32" s="296">
        <f>-'Założenia-dane wejściowe '!I305-(-'Założenia-dane wejściowe '!H305)</f>
        <v>0</v>
      </c>
      <c r="J32" s="296">
        <f>-'Założenia-dane wejściowe '!J305-(-'Założenia-dane wejściowe '!I305)</f>
        <v>0</v>
      </c>
      <c r="K32" s="296">
        <f>-'Założenia-dane wejściowe '!K305-(-'Założenia-dane wejściowe '!J305)</f>
        <v>-598139.19315068505</v>
      </c>
      <c r="L32" s="296">
        <f>-'Założenia-dane wejściowe '!L305-(-'Założenia-dane wejściowe '!K305)</f>
        <v>0</v>
      </c>
      <c r="M32" s="296">
        <f>-'Założenia-dane wejściowe '!M305-(-'Założenia-dane wejściowe '!L305)</f>
        <v>0</v>
      </c>
      <c r="N32" s="296">
        <f>-'Założenia-dane wejściowe '!N305-(-'Założenia-dane wejściowe '!M305)</f>
        <v>0</v>
      </c>
      <c r="O32" s="296">
        <f>-'Założenia-dane wejściowe '!O305-(-'Założenia-dane wejściowe '!N305)</f>
        <v>0</v>
      </c>
      <c r="P32" s="296">
        <f>-'Założenia-dane wejściowe '!P305-(-'Założenia-dane wejściowe '!O305)</f>
        <v>0</v>
      </c>
      <c r="Q32" s="296">
        <f>-'Założenia-dane wejściowe '!Q305-(-'Założenia-dane wejściowe '!P305)</f>
        <v>0</v>
      </c>
      <c r="R32" s="296">
        <f>-'Założenia-dane wejściowe '!R305-(-'Założenia-dane wejściowe '!Q305)</f>
        <v>0</v>
      </c>
      <c r="S32" s="296">
        <f>-'Założenia-dane wejściowe '!S305-(-'Założenia-dane wejściowe '!R305)</f>
        <v>0</v>
      </c>
      <c r="T32" s="296">
        <f>-'Założenia-dane wejściowe '!T305-(-'Założenia-dane wejściowe '!S305)</f>
        <v>0</v>
      </c>
      <c r="U32" s="296">
        <f>-'Założenia-dane wejściowe '!U305-(-'Założenia-dane wejściowe '!T305)</f>
        <v>0</v>
      </c>
      <c r="V32" s="296">
        <f>-'Założenia-dane wejściowe '!V305-(-'Założenia-dane wejściowe '!U305)</f>
        <v>0</v>
      </c>
      <c r="W32" s="296">
        <f>-'Założenia-dane wejściowe '!W305-(-'Założenia-dane wejściowe '!V305)</f>
        <v>0</v>
      </c>
      <c r="X32" s="296">
        <f>-'Założenia-dane wejściowe '!X305-(-'Założenia-dane wejściowe '!W305)</f>
        <v>0</v>
      </c>
      <c r="Y32" s="296">
        <f>-'Założenia-dane wejściowe '!Y305-(-'Założenia-dane wejściowe '!X305)</f>
        <v>0</v>
      </c>
      <c r="Z32" s="296">
        <f>-'Założenia-dane wejściowe '!Z305-(-'Założenia-dane wejściowe '!Y305)</f>
        <v>0</v>
      </c>
      <c r="AA32" s="296">
        <f>-'Założenia-dane wejściowe '!AA305-(-'Założenia-dane wejściowe '!Z305)</f>
        <v>0</v>
      </c>
      <c r="AB32" s="296">
        <f>-'Założenia-dane wejściowe '!AB305-(-'Założenia-dane wejściowe '!AA305)</f>
        <v>0</v>
      </c>
      <c r="AC32" s="296">
        <f>-'Założenia-dane wejściowe '!AC305-(-'Założenia-dane wejściowe '!AB305)</f>
        <v>0</v>
      </c>
      <c r="AD32" s="296">
        <f>-'Założenia-dane wejściowe '!AD305-(-'Założenia-dane wejściowe '!AC305)</f>
        <v>0</v>
      </c>
      <c r="AE32" s="296">
        <f>-'Założenia-dane wejściowe '!AE305-(-'Założenia-dane wejściowe '!AD305)</f>
        <v>0</v>
      </c>
      <c r="AF32" s="296">
        <f>-'Założenia-dane wejściowe '!AF305-(-'Założenia-dane wejściowe '!AE305)</f>
        <v>0</v>
      </c>
      <c r="AG32" s="296">
        <f>-'Założenia-dane wejściowe '!AG305-(-'Założenia-dane wejściowe '!AF305)</f>
        <v>0</v>
      </c>
      <c r="AH32" s="296">
        <f>-'Założenia-dane wejściowe '!AH305-(-'Założenia-dane wejściowe '!AG305)</f>
        <v>0</v>
      </c>
    </row>
    <row r="33" spans="1:34" s="1" customFormat="1" ht="13.5" x14ac:dyDescent="0.25">
      <c r="A33" s="292" t="s">
        <v>160</v>
      </c>
      <c r="B33" s="295" t="s">
        <v>161</v>
      </c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</row>
    <row r="34" spans="1:34" s="1" customFormat="1" ht="13.5" x14ac:dyDescent="0.25">
      <c r="A34" s="292" t="s">
        <v>162</v>
      </c>
      <c r="B34" s="295" t="s">
        <v>163</v>
      </c>
      <c r="C34" s="299">
        <v>0</v>
      </c>
      <c r="D34" s="296">
        <f>-D9</f>
        <v>0</v>
      </c>
      <c r="E34" s="296">
        <f>-E9</f>
        <v>0</v>
      </c>
      <c r="F34" s="296">
        <f t="shared" ref="F34:AG34" si="16">-F9</f>
        <v>0</v>
      </c>
      <c r="G34" s="296">
        <f t="shared" si="16"/>
        <v>0</v>
      </c>
      <c r="H34" s="296">
        <f t="shared" si="16"/>
        <v>0</v>
      </c>
      <c r="I34" s="296">
        <f t="shared" si="16"/>
        <v>-1437540</v>
      </c>
      <c r="J34" s="296">
        <f t="shared" si="16"/>
        <v>-1437540</v>
      </c>
      <c r="K34" s="296">
        <f>-K9</f>
        <v>-6200372.00055</v>
      </c>
      <c r="L34" s="296">
        <f t="shared" si="16"/>
        <v>-6200372.00055</v>
      </c>
      <c r="M34" s="296">
        <f t="shared" si="16"/>
        <v>-6200372.00055</v>
      </c>
      <c r="N34" s="296">
        <f t="shared" si="16"/>
        <v>-6200372.00055</v>
      </c>
      <c r="O34" s="296">
        <f t="shared" si="16"/>
        <v>-6200372.00055</v>
      </c>
      <c r="P34" s="296">
        <f t="shared" si="16"/>
        <v>-6200372.00055</v>
      </c>
      <c r="Q34" s="296">
        <f t="shared" si="16"/>
        <v>-6200372.00055</v>
      </c>
      <c r="R34" s="296">
        <f t="shared" si="16"/>
        <v>-6200372.00055</v>
      </c>
      <c r="S34" s="296">
        <f t="shared" si="16"/>
        <v>-6200372.00055</v>
      </c>
      <c r="T34" s="296">
        <f t="shared" si="16"/>
        <v>-6200372.00055</v>
      </c>
      <c r="U34" s="296">
        <f t="shared" si="16"/>
        <v>-6200372.00055</v>
      </c>
      <c r="V34" s="296">
        <f t="shared" si="16"/>
        <v>-6200372.00055</v>
      </c>
      <c r="W34" s="296">
        <f t="shared" si="16"/>
        <v>-6200372.00055</v>
      </c>
      <c r="X34" s="296">
        <f t="shared" si="16"/>
        <v>-6200372.00055</v>
      </c>
      <c r="Y34" s="296">
        <f t="shared" si="16"/>
        <v>-5721192.00055</v>
      </c>
      <c r="Z34" s="296">
        <f t="shared" si="16"/>
        <v>-4762832.00055</v>
      </c>
      <c r="AA34" s="296">
        <f t="shared" si="16"/>
        <v>-4762832.00055</v>
      </c>
      <c r="AB34" s="296">
        <f t="shared" si="16"/>
        <v>-4762832.00055</v>
      </c>
      <c r="AC34" s="296">
        <f t="shared" si="16"/>
        <v>-4762832.00055</v>
      </c>
      <c r="AD34" s="296">
        <f t="shared" si="16"/>
        <v>-4762832.00055</v>
      </c>
      <c r="AE34" s="296">
        <f t="shared" si="16"/>
        <v>-4762832.00055</v>
      </c>
      <c r="AF34" s="296">
        <f t="shared" si="16"/>
        <v>-4762832.00055</v>
      </c>
      <c r="AG34" s="296">
        <f t="shared" si="16"/>
        <v>-4762832.00055</v>
      </c>
      <c r="AH34" s="296">
        <f>-AH9</f>
        <v>-4762832.00055</v>
      </c>
    </row>
    <row r="35" spans="1:34" s="1" customFormat="1" ht="27" x14ac:dyDescent="0.25">
      <c r="A35" s="7" t="s">
        <v>164</v>
      </c>
      <c r="B35" s="288" t="s">
        <v>165</v>
      </c>
      <c r="C35" s="56">
        <f t="shared" ref="C35:AE35" si="17">C23+C24</f>
        <v>0</v>
      </c>
      <c r="D35" s="56">
        <f t="shared" si="17"/>
        <v>0</v>
      </c>
      <c r="E35" s="56">
        <f t="shared" si="17"/>
        <v>0</v>
      </c>
      <c r="F35" s="56">
        <f t="shared" si="17"/>
        <v>166009.51155152021</v>
      </c>
      <c r="G35" s="56">
        <f t="shared" si="17"/>
        <v>-19559.869072645903</v>
      </c>
      <c r="H35" s="56">
        <f t="shared" si="17"/>
        <v>-14547.501351800689</v>
      </c>
      <c r="I35" s="56">
        <f t="shared" si="17"/>
        <v>3084215.6517148516</v>
      </c>
      <c r="J35" s="56">
        <f t="shared" si="17"/>
        <v>3191903.1869523255</v>
      </c>
      <c r="K35" s="56">
        <f>K23+K24</f>
        <v>14195872.16374681</v>
      </c>
      <c r="L35" s="56">
        <f t="shared" si="17"/>
        <v>12478807.003235202</v>
      </c>
      <c r="M35" s="56">
        <f t="shared" si="17"/>
        <v>12478807.003235202</v>
      </c>
      <c r="N35" s="56">
        <f t="shared" si="17"/>
        <v>12478807.003235202</v>
      </c>
      <c r="O35" s="56">
        <f t="shared" si="17"/>
        <v>12478807.003235202</v>
      </c>
      <c r="P35" s="56">
        <f t="shared" si="17"/>
        <v>12478807.003235202</v>
      </c>
      <c r="Q35" s="56">
        <f t="shared" si="17"/>
        <v>12478807.003235202</v>
      </c>
      <c r="R35" s="56">
        <f t="shared" si="17"/>
        <v>12478807.003235202</v>
      </c>
      <c r="S35" s="56">
        <f t="shared" si="17"/>
        <v>12478807.003235202</v>
      </c>
      <c r="T35" s="56">
        <f t="shared" si="17"/>
        <v>12478807.003235202</v>
      </c>
      <c r="U35" s="56">
        <f t="shared" si="17"/>
        <v>13178401.700775504</v>
      </c>
      <c r="V35" s="56">
        <f t="shared" si="17"/>
        <v>13124348.192639396</v>
      </c>
      <c r="W35" s="56">
        <f t="shared" si="17"/>
        <v>13124348.192639396</v>
      </c>
      <c r="X35" s="56">
        <f t="shared" si="17"/>
        <v>13124348.192639396</v>
      </c>
      <c r="Y35" s="56">
        <f t="shared" si="17"/>
        <v>12026728.764231276</v>
      </c>
      <c r="Z35" s="56">
        <f t="shared" si="17"/>
        <v>10601437.606331134</v>
      </c>
      <c r="AA35" s="56">
        <f t="shared" si="17"/>
        <v>13477758.934237536</v>
      </c>
      <c r="AB35" s="56">
        <f t="shared" si="17"/>
        <v>13267413.602959756</v>
      </c>
      <c r="AC35" s="56">
        <f t="shared" si="17"/>
        <v>13267413.602959756</v>
      </c>
      <c r="AD35" s="56">
        <f t="shared" si="17"/>
        <v>13267413.602959756</v>
      </c>
      <c r="AE35" s="56">
        <f t="shared" si="17"/>
        <v>13707359.661879649</v>
      </c>
      <c r="AF35" s="56">
        <f>AF23+AF24</f>
        <v>13675074.274529649</v>
      </c>
      <c r="AG35" s="56">
        <f>AG23+AG24</f>
        <v>13675074.274529649</v>
      </c>
      <c r="AH35" s="56">
        <f>AH23+AH24</f>
        <v>13675074.274529649</v>
      </c>
    </row>
    <row r="36" spans="1:34" s="1" customFormat="1" ht="27" x14ac:dyDescent="0.25">
      <c r="A36" s="289" t="s">
        <v>113</v>
      </c>
      <c r="B36" s="290" t="s">
        <v>166</v>
      </c>
      <c r="C36" s="29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</row>
    <row r="37" spans="1:34" s="51" customFormat="1" ht="13.5" x14ac:dyDescent="0.25">
      <c r="A37" s="7" t="s">
        <v>127</v>
      </c>
      <c r="B37" s="288" t="s">
        <v>167</v>
      </c>
      <c r="C37" s="301">
        <v>0</v>
      </c>
      <c r="D37" s="301">
        <v>0</v>
      </c>
      <c r="E37" s="301">
        <f>'Wyniki-Luka_FNPV_ENPV   '!B41</f>
        <v>6606509</v>
      </c>
      <c r="F37" s="301">
        <f>'Wyniki-Luka_FNPV_ENPV   '!C41</f>
        <v>34748454</v>
      </c>
      <c r="G37" s="301">
        <f>'Wyniki-Luka_FNPV_ENPV   '!D41</f>
        <v>67671578</v>
      </c>
      <c r="H37" s="301">
        <f>'Wyniki-Luka_FNPV_ENPV   '!E41</f>
        <v>43594892.380000003</v>
      </c>
      <c r="I37" s="301">
        <f>'Wyniki-Luka_FNPV_ENPV   '!F41</f>
        <v>40693343.359999999</v>
      </c>
      <c r="J37" s="301">
        <f>'Wyniki-Luka_FNPV_ENPV   '!G41</f>
        <v>21157503.27</v>
      </c>
      <c r="K37" s="301">
        <v>0</v>
      </c>
      <c r="L37" s="301">
        <v>0</v>
      </c>
      <c r="M37" s="301">
        <v>0</v>
      </c>
      <c r="N37" s="301">
        <v>0</v>
      </c>
      <c r="O37" s="301">
        <v>0</v>
      </c>
      <c r="P37" s="301">
        <v>0</v>
      </c>
      <c r="Q37" s="301">
        <v>0</v>
      </c>
      <c r="R37" s="301">
        <v>0</v>
      </c>
      <c r="S37" s="301">
        <v>0</v>
      </c>
      <c r="T37" s="301">
        <v>0</v>
      </c>
      <c r="U37" s="301">
        <v>0</v>
      </c>
      <c r="V37" s="301">
        <v>0</v>
      </c>
      <c r="W37" s="301">
        <v>0</v>
      </c>
      <c r="X37" s="301">
        <v>0</v>
      </c>
      <c r="Y37" s="301">
        <v>0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0</v>
      </c>
      <c r="AG37" s="301">
        <v>0</v>
      </c>
      <c r="AH37" s="301">
        <v>1</v>
      </c>
    </row>
    <row r="38" spans="1:34" s="51" customFormat="1" ht="13.5" x14ac:dyDescent="0.25">
      <c r="A38" s="7" t="s">
        <v>142</v>
      </c>
      <c r="B38" s="288" t="s">
        <v>168</v>
      </c>
      <c r="C38" s="301">
        <v>0</v>
      </c>
      <c r="D38" s="301">
        <v>0</v>
      </c>
      <c r="E38" s="301">
        <f>'Wyniki-Luka_FNPV_ENPV   '!B52</f>
        <v>16449405</v>
      </c>
      <c r="F38" s="301">
        <f>'Wyniki-Luka_FNPV_ENPV   '!C52</f>
        <v>84840430</v>
      </c>
      <c r="G38" s="301">
        <f>'Wyniki-Luka_FNPV_ENPV   '!D52</f>
        <v>158558010</v>
      </c>
      <c r="H38" s="301">
        <f>'Wyniki-Luka_FNPV_ENPV   '!E52</f>
        <v>108315987.09999999</v>
      </c>
      <c r="I38" s="301">
        <f>'Wyniki-Luka_FNPV_ENPV   '!F52</f>
        <v>101091482.47</v>
      </c>
      <c r="J38" s="301">
        <f>'Wyniki-Luka_FNPV_ENPV   '!G52</f>
        <v>52449613.420000002</v>
      </c>
      <c r="K38" s="301">
        <f>'Założenia-dane wejściowe '!J298</f>
        <v>0</v>
      </c>
      <c r="L38" s="301">
        <f>'Założenia-dane wejściowe '!K298</f>
        <v>0</v>
      </c>
      <c r="M38" s="301">
        <f>'Założenia-dane wejściowe '!L298</f>
        <v>0</v>
      </c>
      <c r="N38" s="301">
        <f>'Założenia-dane wejściowe '!M298</f>
        <v>0</v>
      </c>
      <c r="O38" s="301">
        <f>'Założenia-dane wejściowe '!N298</f>
        <v>0</v>
      </c>
      <c r="P38" s="301">
        <f>'Założenia-dane wejściowe '!O298</f>
        <v>0</v>
      </c>
      <c r="Q38" s="301">
        <f>'Założenia-dane wejściowe '!P298</f>
        <v>0</v>
      </c>
      <c r="R38" s="301">
        <f>'Założenia-dane wejściowe '!Q298</f>
        <v>0</v>
      </c>
      <c r="S38" s="301">
        <f>'Założenia-dane wejściowe '!R298</f>
        <v>0</v>
      </c>
      <c r="T38" s="301">
        <f>'Założenia-dane wejściowe '!S298</f>
        <v>0</v>
      </c>
      <c r="U38" s="301">
        <f>'Założenia-dane wejściowe '!T298</f>
        <v>20854470.649999999</v>
      </c>
      <c r="V38" s="301">
        <f>'Założenia-dane wejściowe '!U298</f>
        <v>0</v>
      </c>
      <c r="W38" s="301">
        <f>'Założenia-dane wejściowe '!V298</f>
        <v>0</v>
      </c>
      <c r="X38" s="301">
        <f>'Założenia-dane wejściowe '!W298</f>
        <v>0</v>
      </c>
      <c r="Y38" s="301">
        <f>'Założenia-dane wejściowe '!X298</f>
        <v>0</v>
      </c>
      <c r="Z38" s="301">
        <f>'Założenia-dane wejściowe '!Y298</f>
        <v>20854470.649999999</v>
      </c>
      <c r="AA38" s="301">
        <f>'Założenia-dane wejściowe '!Z298</f>
        <v>42000000</v>
      </c>
      <c r="AB38" s="301">
        <f>'Założenia-dane wejściowe '!AA298</f>
        <v>0</v>
      </c>
      <c r="AC38" s="301">
        <f>'Założenia-dane wejściowe '!AB298</f>
        <v>0</v>
      </c>
      <c r="AD38" s="301">
        <f>'Założenia-dane wejściowe '!AC298</f>
        <v>0</v>
      </c>
      <c r="AE38" s="301">
        <f>'Założenia-dane wejściowe '!AD298</f>
        <v>20854470.649999999</v>
      </c>
      <c r="AF38" s="301">
        <f>'Założenia-dane wejściowe '!AE298</f>
        <v>0</v>
      </c>
      <c r="AG38" s="301">
        <f>'Założenia-dane wejściowe '!AF298</f>
        <v>0</v>
      </c>
      <c r="AH38" s="301">
        <f>'Założenia-dane wejściowe '!AG298</f>
        <v>0</v>
      </c>
    </row>
    <row r="39" spans="1:34" s="51" customFormat="1" ht="27" x14ac:dyDescent="0.25">
      <c r="A39" s="7" t="s">
        <v>169</v>
      </c>
      <c r="B39" s="288" t="s">
        <v>170</v>
      </c>
      <c r="C39" s="130">
        <f t="shared" ref="C39:AG39" si="18">C37-C38</f>
        <v>0</v>
      </c>
      <c r="D39" s="130">
        <f t="shared" ref="D39:J39" si="19">D37-D38</f>
        <v>0</v>
      </c>
      <c r="E39" s="130">
        <f t="shared" si="19"/>
        <v>-9842896</v>
      </c>
      <c r="F39" s="130">
        <f t="shared" si="19"/>
        <v>-50091976</v>
      </c>
      <c r="G39" s="130">
        <f t="shared" si="19"/>
        <v>-90886432</v>
      </c>
      <c r="H39" s="130">
        <f t="shared" si="19"/>
        <v>-64721094.719999991</v>
      </c>
      <c r="I39" s="130">
        <f t="shared" si="19"/>
        <v>-60398139.109999999</v>
      </c>
      <c r="J39" s="130">
        <f t="shared" si="19"/>
        <v>-31292110.150000002</v>
      </c>
      <c r="K39" s="130">
        <f t="shared" si="18"/>
        <v>0</v>
      </c>
      <c r="L39" s="130">
        <f t="shared" si="18"/>
        <v>0</v>
      </c>
      <c r="M39" s="130">
        <f t="shared" si="18"/>
        <v>0</v>
      </c>
      <c r="N39" s="130">
        <f t="shared" si="18"/>
        <v>0</v>
      </c>
      <c r="O39" s="130">
        <f t="shared" si="18"/>
        <v>0</v>
      </c>
      <c r="P39" s="130">
        <f t="shared" si="18"/>
        <v>0</v>
      </c>
      <c r="Q39" s="130">
        <f t="shared" si="18"/>
        <v>0</v>
      </c>
      <c r="R39" s="130">
        <f t="shared" si="18"/>
        <v>0</v>
      </c>
      <c r="S39" s="130">
        <f t="shared" si="18"/>
        <v>0</v>
      </c>
      <c r="T39" s="130">
        <f t="shared" si="18"/>
        <v>0</v>
      </c>
      <c r="U39" s="130">
        <f t="shared" si="18"/>
        <v>-20854470.649999999</v>
      </c>
      <c r="V39" s="130">
        <f t="shared" si="18"/>
        <v>0</v>
      </c>
      <c r="W39" s="130">
        <f t="shared" si="18"/>
        <v>0</v>
      </c>
      <c r="X39" s="130">
        <f t="shared" si="18"/>
        <v>0</v>
      </c>
      <c r="Y39" s="130">
        <f t="shared" si="18"/>
        <v>0</v>
      </c>
      <c r="Z39" s="130">
        <f t="shared" si="18"/>
        <v>-20854470.649999999</v>
      </c>
      <c r="AA39" s="130">
        <f t="shared" si="18"/>
        <v>-42000000</v>
      </c>
      <c r="AB39" s="130">
        <f t="shared" si="18"/>
        <v>0</v>
      </c>
      <c r="AC39" s="130">
        <f t="shared" si="18"/>
        <v>0</v>
      </c>
      <c r="AD39" s="130">
        <f t="shared" si="18"/>
        <v>0</v>
      </c>
      <c r="AE39" s="130">
        <f t="shared" si="18"/>
        <v>-20854470.649999999</v>
      </c>
      <c r="AF39" s="130">
        <f t="shared" si="18"/>
        <v>0</v>
      </c>
      <c r="AG39" s="130">
        <f t="shared" si="18"/>
        <v>0</v>
      </c>
      <c r="AH39" s="130">
        <f>AH37-AH38</f>
        <v>1</v>
      </c>
    </row>
    <row r="40" spans="1:34" s="51" customFormat="1" ht="27" x14ac:dyDescent="0.25">
      <c r="A40" s="289" t="s">
        <v>115</v>
      </c>
      <c r="B40" s="290" t="s">
        <v>171</v>
      </c>
      <c r="C40" s="302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</row>
    <row r="41" spans="1:34" s="51" customFormat="1" ht="13.5" x14ac:dyDescent="0.25">
      <c r="A41" s="7" t="s">
        <v>127</v>
      </c>
      <c r="B41" s="288" t="s">
        <v>172</v>
      </c>
      <c r="C41" s="130">
        <v>0</v>
      </c>
      <c r="D41" s="130">
        <v>0</v>
      </c>
      <c r="E41" s="130">
        <f>'Wyniki-Luka_FNPV_ENPV   '!B50</f>
        <v>9842896</v>
      </c>
      <c r="F41" s="130">
        <f>'Wyniki-Luka_FNPV_ENPV   '!C50</f>
        <v>50091976</v>
      </c>
      <c r="G41" s="130">
        <f>'Wyniki-Luka_FNPV_ENPV   '!D50</f>
        <v>90886432</v>
      </c>
      <c r="H41" s="130">
        <f>'Wyniki-Luka_FNPV_ENPV   '!E50</f>
        <v>64721094.719999991</v>
      </c>
      <c r="I41" s="130">
        <f>'Wyniki-Luka_FNPV_ENPV   '!F50</f>
        <v>60398139.109999999</v>
      </c>
      <c r="J41" s="130">
        <f>'Wyniki-Luka_FNPV_ENPV   '!G50</f>
        <v>31292110.150000002</v>
      </c>
      <c r="K41" s="130">
        <v>0</v>
      </c>
      <c r="L41" s="130">
        <v>0</v>
      </c>
      <c r="M41" s="130">
        <v>0</v>
      </c>
      <c r="N41" s="130">
        <v>0</v>
      </c>
      <c r="O41" s="130">
        <f t="shared" ref="O41:AG41" si="20">O38</f>
        <v>0</v>
      </c>
      <c r="P41" s="130">
        <f t="shared" si="20"/>
        <v>0</v>
      </c>
      <c r="Q41" s="130">
        <f t="shared" si="20"/>
        <v>0</v>
      </c>
      <c r="R41" s="130">
        <f t="shared" si="20"/>
        <v>0</v>
      </c>
      <c r="S41" s="130">
        <f t="shared" si="20"/>
        <v>0</v>
      </c>
      <c r="T41" s="130">
        <f t="shared" si="20"/>
        <v>0</v>
      </c>
      <c r="U41" s="130">
        <f t="shared" si="20"/>
        <v>20854470.649999999</v>
      </c>
      <c r="V41" s="130">
        <f t="shared" si="20"/>
        <v>0</v>
      </c>
      <c r="W41" s="130">
        <f t="shared" si="20"/>
        <v>0</v>
      </c>
      <c r="X41" s="130">
        <f t="shared" si="20"/>
        <v>0</v>
      </c>
      <c r="Y41" s="130">
        <f t="shared" si="20"/>
        <v>0</v>
      </c>
      <c r="Z41" s="130">
        <f t="shared" si="20"/>
        <v>20854470.649999999</v>
      </c>
      <c r="AA41" s="130">
        <f t="shared" si="20"/>
        <v>42000000</v>
      </c>
      <c r="AB41" s="130">
        <f t="shared" si="20"/>
        <v>0</v>
      </c>
      <c r="AC41" s="130">
        <f t="shared" si="20"/>
        <v>0</v>
      </c>
      <c r="AD41" s="130">
        <f t="shared" si="20"/>
        <v>0</v>
      </c>
      <c r="AE41" s="130">
        <f t="shared" si="20"/>
        <v>20854470.649999999</v>
      </c>
      <c r="AF41" s="130">
        <f t="shared" si="20"/>
        <v>0</v>
      </c>
      <c r="AG41" s="130">
        <f t="shared" si="20"/>
        <v>0</v>
      </c>
      <c r="AH41" s="130">
        <f>AH38</f>
        <v>0</v>
      </c>
    </row>
    <row r="42" spans="1:34" s="51" customFormat="1" ht="13.5" x14ac:dyDescent="0.25">
      <c r="A42" s="7" t="s">
        <v>142</v>
      </c>
      <c r="B42" s="288" t="s">
        <v>168</v>
      </c>
      <c r="C42" s="130">
        <v>0</v>
      </c>
      <c r="D42" s="130">
        <v>0</v>
      </c>
      <c r="E42" s="130">
        <f t="shared" ref="E42:AH42" si="21">D42</f>
        <v>0</v>
      </c>
      <c r="F42" s="130">
        <f t="shared" si="21"/>
        <v>0</v>
      </c>
      <c r="G42" s="130">
        <f t="shared" si="21"/>
        <v>0</v>
      </c>
      <c r="H42" s="130">
        <f t="shared" si="21"/>
        <v>0</v>
      </c>
      <c r="I42" s="130">
        <f t="shared" si="21"/>
        <v>0</v>
      </c>
      <c r="J42" s="130">
        <f t="shared" si="21"/>
        <v>0</v>
      </c>
      <c r="K42" s="130">
        <f t="shared" si="21"/>
        <v>0</v>
      </c>
      <c r="L42" s="130">
        <f t="shared" si="21"/>
        <v>0</v>
      </c>
      <c r="M42" s="130">
        <f t="shared" si="21"/>
        <v>0</v>
      </c>
      <c r="N42" s="130">
        <f t="shared" si="21"/>
        <v>0</v>
      </c>
      <c r="O42" s="130">
        <f t="shared" si="21"/>
        <v>0</v>
      </c>
      <c r="P42" s="130">
        <f t="shared" si="21"/>
        <v>0</v>
      </c>
      <c r="Q42" s="130">
        <f t="shared" si="21"/>
        <v>0</v>
      </c>
      <c r="R42" s="130">
        <f t="shared" si="21"/>
        <v>0</v>
      </c>
      <c r="S42" s="130">
        <f t="shared" si="21"/>
        <v>0</v>
      </c>
      <c r="T42" s="130">
        <f t="shared" si="21"/>
        <v>0</v>
      </c>
      <c r="U42" s="130">
        <f t="shared" si="21"/>
        <v>0</v>
      </c>
      <c r="V42" s="130">
        <f t="shared" si="21"/>
        <v>0</v>
      </c>
      <c r="W42" s="130">
        <f t="shared" si="21"/>
        <v>0</v>
      </c>
      <c r="X42" s="130">
        <f t="shared" si="21"/>
        <v>0</v>
      </c>
      <c r="Y42" s="130">
        <f t="shared" si="21"/>
        <v>0</v>
      </c>
      <c r="Z42" s="130">
        <f t="shared" si="21"/>
        <v>0</v>
      </c>
      <c r="AA42" s="130">
        <f t="shared" si="21"/>
        <v>0</v>
      </c>
      <c r="AB42" s="130">
        <f t="shared" si="21"/>
        <v>0</v>
      </c>
      <c r="AC42" s="130">
        <f t="shared" si="21"/>
        <v>0</v>
      </c>
      <c r="AD42" s="130">
        <f t="shared" si="21"/>
        <v>0</v>
      </c>
      <c r="AE42" s="130">
        <f t="shared" si="21"/>
        <v>0</v>
      </c>
      <c r="AF42" s="130">
        <f t="shared" si="21"/>
        <v>0</v>
      </c>
      <c r="AG42" s="130">
        <f t="shared" si="21"/>
        <v>0</v>
      </c>
      <c r="AH42" s="130">
        <f t="shared" si="21"/>
        <v>0</v>
      </c>
    </row>
    <row r="43" spans="1:34" s="51" customFormat="1" ht="27" x14ac:dyDescent="0.25">
      <c r="A43" s="7" t="s">
        <v>169</v>
      </c>
      <c r="B43" s="288" t="s">
        <v>173</v>
      </c>
      <c r="C43" s="303">
        <v>0</v>
      </c>
      <c r="D43" s="130">
        <f t="shared" ref="D43:AG43" si="22">D41-D42</f>
        <v>0</v>
      </c>
      <c r="E43" s="130">
        <f t="shared" si="22"/>
        <v>9842896</v>
      </c>
      <c r="F43" s="130">
        <f t="shared" si="22"/>
        <v>50091976</v>
      </c>
      <c r="G43" s="130">
        <f t="shared" si="22"/>
        <v>90886432</v>
      </c>
      <c r="H43" s="130">
        <f t="shared" si="22"/>
        <v>64721094.719999991</v>
      </c>
      <c r="I43" s="130">
        <f t="shared" si="22"/>
        <v>60398139.109999999</v>
      </c>
      <c r="J43" s="130">
        <f t="shared" si="22"/>
        <v>31292110.150000002</v>
      </c>
      <c r="K43" s="130">
        <f t="shared" si="22"/>
        <v>0</v>
      </c>
      <c r="L43" s="130">
        <f t="shared" si="22"/>
        <v>0</v>
      </c>
      <c r="M43" s="130">
        <f t="shared" si="22"/>
        <v>0</v>
      </c>
      <c r="N43" s="130">
        <f t="shared" si="22"/>
        <v>0</v>
      </c>
      <c r="O43" s="130">
        <f t="shared" si="22"/>
        <v>0</v>
      </c>
      <c r="P43" s="130">
        <f t="shared" si="22"/>
        <v>0</v>
      </c>
      <c r="Q43" s="130">
        <f t="shared" si="22"/>
        <v>0</v>
      </c>
      <c r="R43" s="130">
        <f t="shared" si="22"/>
        <v>0</v>
      </c>
      <c r="S43" s="130">
        <f t="shared" si="22"/>
        <v>0</v>
      </c>
      <c r="T43" s="130">
        <f t="shared" si="22"/>
        <v>0</v>
      </c>
      <c r="U43" s="130">
        <f t="shared" si="22"/>
        <v>20854470.649999999</v>
      </c>
      <c r="V43" s="130">
        <f t="shared" si="22"/>
        <v>0</v>
      </c>
      <c r="W43" s="130">
        <f t="shared" si="22"/>
        <v>0</v>
      </c>
      <c r="X43" s="130">
        <f t="shared" si="22"/>
        <v>0</v>
      </c>
      <c r="Y43" s="130">
        <f t="shared" si="22"/>
        <v>0</v>
      </c>
      <c r="Z43" s="130">
        <f t="shared" si="22"/>
        <v>20854470.649999999</v>
      </c>
      <c r="AA43" s="130">
        <f t="shared" si="22"/>
        <v>42000000</v>
      </c>
      <c r="AB43" s="130">
        <f t="shared" si="22"/>
        <v>0</v>
      </c>
      <c r="AC43" s="130">
        <f t="shared" si="22"/>
        <v>0</v>
      </c>
      <c r="AD43" s="130">
        <f t="shared" si="22"/>
        <v>0</v>
      </c>
      <c r="AE43" s="130">
        <f t="shared" si="22"/>
        <v>20854470.649999999</v>
      </c>
      <c r="AF43" s="130">
        <f t="shared" si="22"/>
        <v>0</v>
      </c>
      <c r="AG43" s="130">
        <f t="shared" si="22"/>
        <v>0</v>
      </c>
      <c r="AH43" s="130">
        <f>AH41-AH42</f>
        <v>0</v>
      </c>
    </row>
    <row r="44" spans="1:34" s="1" customFormat="1" ht="27" x14ac:dyDescent="0.25">
      <c r="A44" s="289" t="s">
        <v>117</v>
      </c>
      <c r="B44" s="290" t="s">
        <v>174</v>
      </c>
      <c r="C44" s="131">
        <f t="shared" ref="C44:AG44" si="23">C35+C39+C43</f>
        <v>0</v>
      </c>
      <c r="D44" s="291">
        <f t="shared" si="23"/>
        <v>0</v>
      </c>
      <c r="E44" s="291">
        <f t="shared" si="23"/>
        <v>0</v>
      </c>
      <c r="F44" s="291">
        <f t="shared" si="23"/>
        <v>166009.51155152172</v>
      </c>
      <c r="G44" s="291">
        <f t="shared" si="23"/>
        <v>-19559.869072645903</v>
      </c>
      <c r="H44" s="291">
        <f t="shared" si="23"/>
        <v>-14547.501351803541</v>
      </c>
      <c r="I44" s="291">
        <f t="shared" si="23"/>
        <v>3084215.6517148539</v>
      </c>
      <c r="J44" s="291">
        <f t="shared" si="23"/>
        <v>3191903.1869523264</v>
      </c>
      <c r="K44" s="291">
        <f t="shared" si="23"/>
        <v>14195872.16374681</v>
      </c>
      <c r="L44" s="291">
        <f t="shared" si="23"/>
        <v>12478807.003235202</v>
      </c>
      <c r="M44" s="291">
        <f t="shared" si="23"/>
        <v>12478807.003235202</v>
      </c>
      <c r="N44" s="291">
        <f t="shared" si="23"/>
        <v>12478807.003235202</v>
      </c>
      <c r="O44" s="291">
        <f t="shared" si="23"/>
        <v>12478807.003235202</v>
      </c>
      <c r="P44" s="291">
        <f t="shared" si="23"/>
        <v>12478807.003235202</v>
      </c>
      <c r="Q44" s="291">
        <f t="shared" si="23"/>
        <v>12478807.003235202</v>
      </c>
      <c r="R44" s="291">
        <f t="shared" si="23"/>
        <v>12478807.003235202</v>
      </c>
      <c r="S44" s="291">
        <f t="shared" si="23"/>
        <v>12478807.003235202</v>
      </c>
      <c r="T44" s="291">
        <f t="shared" si="23"/>
        <v>12478807.003235202</v>
      </c>
      <c r="U44" s="291">
        <f t="shared" si="23"/>
        <v>13178401.700775504</v>
      </c>
      <c r="V44" s="291">
        <f t="shared" si="23"/>
        <v>13124348.192639396</v>
      </c>
      <c r="W44" s="291">
        <f t="shared" si="23"/>
        <v>13124348.192639396</v>
      </c>
      <c r="X44" s="291">
        <f t="shared" si="23"/>
        <v>13124348.192639396</v>
      </c>
      <c r="Y44" s="291">
        <f t="shared" si="23"/>
        <v>12026728.764231276</v>
      </c>
      <c r="Z44" s="291">
        <f t="shared" si="23"/>
        <v>10601437.606331134</v>
      </c>
      <c r="AA44" s="291">
        <f t="shared" si="23"/>
        <v>13477758.934237536</v>
      </c>
      <c r="AB44" s="291">
        <f t="shared" si="23"/>
        <v>13267413.602959756</v>
      </c>
      <c r="AC44" s="291">
        <f t="shared" si="23"/>
        <v>13267413.602959756</v>
      </c>
      <c r="AD44" s="291">
        <f t="shared" si="23"/>
        <v>13267413.602959756</v>
      </c>
      <c r="AE44" s="291">
        <f t="shared" si="23"/>
        <v>13707359.661879649</v>
      </c>
      <c r="AF44" s="291">
        <f t="shared" si="23"/>
        <v>13675074.274529649</v>
      </c>
      <c r="AG44" s="291">
        <f t="shared" si="23"/>
        <v>13675074.274529649</v>
      </c>
      <c r="AH44" s="291">
        <f>AH35+AH39+AH43</f>
        <v>13675075.274529649</v>
      </c>
    </row>
    <row r="45" spans="1:34" s="1" customFormat="1" ht="13.5" x14ac:dyDescent="0.25">
      <c r="A45" s="289" t="s">
        <v>119</v>
      </c>
      <c r="B45" s="290" t="s">
        <v>175</v>
      </c>
      <c r="C45" s="29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</row>
    <row r="46" spans="1:34" s="1" customFormat="1" ht="13.5" x14ac:dyDescent="0.25">
      <c r="A46" s="289" t="s">
        <v>121</v>
      </c>
      <c r="B46" s="290" t="s">
        <v>176</v>
      </c>
      <c r="C46" s="304">
        <f>-C44</f>
        <v>0</v>
      </c>
      <c r="D46" s="304">
        <f>C47</f>
        <v>0</v>
      </c>
      <c r="E46" s="304">
        <f>D47</f>
        <v>0</v>
      </c>
      <c r="F46" s="304">
        <f t="shared" ref="F46:AH46" si="24">E47</f>
        <v>0</v>
      </c>
      <c r="G46" s="304">
        <f t="shared" si="24"/>
        <v>166009.51155152172</v>
      </c>
      <c r="H46" s="304">
        <f t="shared" si="24"/>
        <v>146449.64247887582</v>
      </c>
      <c r="I46" s="304">
        <f t="shared" si="24"/>
        <v>131902.14112707227</v>
      </c>
      <c r="J46" s="304">
        <f t="shared" si="24"/>
        <v>3216117.7928419262</v>
      </c>
      <c r="K46" s="304">
        <f t="shared" si="24"/>
        <v>6408020.9797942527</v>
      </c>
      <c r="L46" s="304">
        <f t="shared" si="24"/>
        <v>20603893.14354106</v>
      </c>
      <c r="M46" s="304">
        <f t="shared" si="24"/>
        <v>33082700.146776263</v>
      </c>
      <c r="N46" s="304">
        <f t="shared" si="24"/>
        <v>45561507.150011465</v>
      </c>
      <c r="O46" s="304">
        <f t="shared" si="24"/>
        <v>58040314.153246671</v>
      </c>
      <c r="P46" s="304">
        <f t="shared" si="24"/>
        <v>70519121.156481877</v>
      </c>
      <c r="Q46" s="304">
        <f t="shared" si="24"/>
        <v>82997928.159717083</v>
      </c>
      <c r="R46" s="304">
        <f t="shared" si="24"/>
        <v>95476735.162952289</v>
      </c>
      <c r="S46" s="304">
        <f t="shared" si="24"/>
        <v>107955542.16618749</v>
      </c>
      <c r="T46" s="304">
        <f t="shared" si="24"/>
        <v>120434349.1694227</v>
      </c>
      <c r="U46" s="304">
        <f t="shared" si="24"/>
        <v>132913156.17265791</v>
      </c>
      <c r="V46" s="304">
        <f t="shared" si="24"/>
        <v>146091557.87343341</v>
      </c>
      <c r="W46" s="304">
        <f t="shared" si="24"/>
        <v>159215906.06607282</v>
      </c>
      <c r="X46" s="304">
        <f t="shared" si="24"/>
        <v>172340254.25871223</v>
      </c>
      <c r="Y46" s="304">
        <f t="shared" si="24"/>
        <v>185464602.45135164</v>
      </c>
      <c r="Z46" s="304">
        <f t="shared" si="24"/>
        <v>197491331.21558291</v>
      </c>
      <c r="AA46" s="304">
        <f t="shared" si="24"/>
        <v>208092768.82191405</v>
      </c>
      <c r="AB46" s="304">
        <f t="shared" si="24"/>
        <v>221570527.75615159</v>
      </c>
      <c r="AC46" s="304">
        <f t="shared" si="24"/>
        <v>234837941.35911134</v>
      </c>
      <c r="AD46" s="304">
        <f t="shared" si="24"/>
        <v>248105354.96207109</v>
      </c>
      <c r="AE46" s="304">
        <f t="shared" si="24"/>
        <v>261372768.56503084</v>
      </c>
      <c r="AF46" s="304">
        <f t="shared" si="24"/>
        <v>275080128.22691047</v>
      </c>
      <c r="AG46" s="304">
        <f t="shared" si="24"/>
        <v>288755202.50144011</v>
      </c>
      <c r="AH46" s="304">
        <f t="shared" si="24"/>
        <v>302430276.77596974</v>
      </c>
    </row>
    <row r="47" spans="1:34" s="1" customFormat="1" ht="13.5" x14ac:dyDescent="0.25">
      <c r="A47" s="289" t="s">
        <v>123</v>
      </c>
      <c r="B47" s="290" t="s">
        <v>177</v>
      </c>
      <c r="C47" s="131">
        <f>C46+C44</f>
        <v>0</v>
      </c>
      <c r="D47" s="131">
        <f>D46+D44</f>
        <v>0</v>
      </c>
      <c r="E47" s="131">
        <f>E46+E44</f>
        <v>0</v>
      </c>
      <c r="F47" s="131">
        <f>F46+F44</f>
        <v>166009.51155152172</v>
      </c>
      <c r="G47" s="131">
        <f>G46+G44</f>
        <v>146449.64247887582</v>
      </c>
      <c r="H47" s="131">
        <f t="shared" ref="H47:AG47" si="25">H46+H44</f>
        <v>131902.14112707227</v>
      </c>
      <c r="I47" s="131">
        <f t="shared" si="25"/>
        <v>3216117.7928419262</v>
      </c>
      <c r="J47" s="131">
        <f t="shared" si="25"/>
        <v>6408020.9797942527</v>
      </c>
      <c r="K47" s="131">
        <f t="shared" si="25"/>
        <v>20603893.14354106</v>
      </c>
      <c r="L47" s="131">
        <f t="shared" si="25"/>
        <v>33082700.146776263</v>
      </c>
      <c r="M47" s="131">
        <f t="shared" si="25"/>
        <v>45561507.150011465</v>
      </c>
      <c r="N47" s="131">
        <f t="shared" si="25"/>
        <v>58040314.153246671</v>
      </c>
      <c r="O47" s="131">
        <f t="shared" si="25"/>
        <v>70519121.156481877</v>
      </c>
      <c r="P47" s="131">
        <f t="shared" si="25"/>
        <v>82997928.159717083</v>
      </c>
      <c r="Q47" s="131">
        <f t="shared" si="25"/>
        <v>95476735.162952289</v>
      </c>
      <c r="R47" s="131">
        <f t="shared" si="25"/>
        <v>107955542.16618749</v>
      </c>
      <c r="S47" s="131">
        <f t="shared" si="25"/>
        <v>120434349.1694227</v>
      </c>
      <c r="T47" s="131">
        <f t="shared" si="25"/>
        <v>132913156.17265791</v>
      </c>
      <c r="U47" s="131">
        <f t="shared" si="25"/>
        <v>146091557.87343341</v>
      </c>
      <c r="V47" s="131">
        <f t="shared" si="25"/>
        <v>159215906.06607282</v>
      </c>
      <c r="W47" s="131">
        <f t="shared" si="25"/>
        <v>172340254.25871223</v>
      </c>
      <c r="X47" s="131">
        <f t="shared" si="25"/>
        <v>185464602.45135164</v>
      </c>
      <c r="Y47" s="131">
        <f t="shared" si="25"/>
        <v>197491331.21558291</v>
      </c>
      <c r="Z47" s="131">
        <f t="shared" si="25"/>
        <v>208092768.82191405</v>
      </c>
      <c r="AA47" s="131">
        <f t="shared" si="25"/>
        <v>221570527.75615159</v>
      </c>
      <c r="AB47" s="131">
        <f t="shared" si="25"/>
        <v>234837941.35911134</v>
      </c>
      <c r="AC47" s="131">
        <f t="shared" si="25"/>
        <v>248105354.96207109</v>
      </c>
      <c r="AD47" s="131">
        <f t="shared" si="25"/>
        <v>261372768.56503084</v>
      </c>
      <c r="AE47" s="131">
        <f t="shared" si="25"/>
        <v>275080128.22691047</v>
      </c>
      <c r="AF47" s="131">
        <f t="shared" si="25"/>
        <v>288755202.50144011</v>
      </c>
      <c r="AG47" s="131">
        <f t="shared" si="25"/>
        <v>302430276.77596974</v>
      </c>
      <c r="AH47" s="131">
        <f>AH46+AH44</f>
        <v>316105352.05049938</v>
      </c>
    </row>
    <row r="50" spans="6:33" x14ac:dyDescent="0.2"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</row>
    <row r="53" spans="6:33" x14ac:dyDescent="0.2">
      <c r="X53" s="97"/>
    </row>
  </sheetData>
  <pageMargins left="0.55118110236220474" right="0.51181102362204722" top="0.98425196850393704" bottom="0.98425196850393704" header="0.51181102362204722" footer="0.51181102362204722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G117"/>
  <sheetViews>
    <sheetView topLeftCell="A13" workbookViewId="0">
      <selection activeCell="C31" sqref="C31"/>
    </sheetView>
  </sheetViews>
  <sheetFormatPr defaultColWidth="9.140625" defaultRowHeight="12.75" x14ac:dyDescent="0.2"/>
  <cols>
    <col min="1" max="1" width="26.5703125" style="69" customWidth="1"/>
    <col min="2" max="2" width="30.5703125" style="69" customWidth="1"/>
    <col min="3" max="3" width="13" style="69" bestFit="1" customWidth="1"/>
    <col min="4" max="4" width="18.140625" style="69" bestFit="1" customWidth="1"/>
    <col min="5" max="5" width="15.28515625" style="69" bestFit="1" customWidth="1"/>
    <col min="6" max="7" width="13" style="69" bestFit="1" customWidth="1"/>
    <col min="8" max="9" width="14" style="69" bestFit="1" customWidth="1"/>
    <col min="10" max="11" width="13" style="69" bestFit="1" customWidth="1"/>
    <col min="12" max="31" width="13" style="244" bestFit="1" customWidth="1"/>
    <col min="32" max="32" width="11.42578125" style="244" customWidth="1"/>
    <col min="33" max="33" width="8.85546875" style="244" bestFit="1" customWidth="1"/>
    <col min="34" max="16384" width="9.140625" style="244"/>
  </cols>
  <sheetData>
    <row r="1" spans="1:33" s="12" customFormat="1" ht="25.5" x14ac:dyDescent="0.2">
      <c r="A1" s="281" t="s">
        <v>354</v>
      </c>
    </row>
    <row r="2" spans="1:33" s="12" customFormat="1" x14ac:dyDescent="0.2"/>
    <row r="3" spans="1:33" s="12" customFormat="1" ht="15.75" x14ac:dyDescent="0.2">
      <c r="A3" s="233" t="s">
        <v>419</v>
      </c>
    </row>
    <row r="4" spans="1:33" s="1" customFormat="1" ht="27.75" customHeight="1" x14ac:dyDescent="0.25">
      <c r="A4" s="223" t="s">
        <v>178</v>
      </c>
      <c r="B4" s="306" t="s">
        <v>179</v>
      </c>
      <c r="C4" s="18">
        <v>2015</v>
      </c>
      <c r="D4" s="18">
        <f>C4+1</f>
        <v>2016</v>
      </c>
      <c r="E4" s="18">
        <f t="shared" ref="E4:AF4" si="0">D4+1</f>
        <v>2017</v>
      </c>
      <c r="F4" s="18">
        <f t="shared" si="0"/>
        <v>2018</v>
      </c>
      <c r="G4" s="18">
        <f t="shared" si="0"/>
        <v>2019</v>
      </c>
      <c r="H4" s="18">
        <f t="shared" si="0"/>
        <v>2020</v>
      </c>
      <c r="I4" s="18">
        <f t="shared" si="0"/>
        <v>2021</v>
      </c>
      <c r="J4" s="18">
        <f t="shared" si="0"/>
        <v>2022</v>
      </c>
      <c r="K4" s="18">
        <f t="shared" si="0"/>
        <v>2023</v>
      </c>
      <c r="L4" s="18">
        <f t="shared" si="0"/>
        <v>2024</v>
      </c>
      <c r="M4" s="18">
        <f t="shared" si="0"/>
        <v>2025</v>
      </c>
      <c r="N4" s="18">
        <f t="shared" si="0"/>
        <v>2026</v>
      </c>
      <c r="O4" s="18">
        <f t="shared" si="0"/>
        <v>2027</v>
      </c>
      <c r="P4" s="18">
        <f t="shared" si="0"/>
        <v>2028</v>
      </c>
      <c r="Q4" s="18">
        <f t="shared" si="0"/>
        <v>2029</v>
      </c>
      <c r="R4" s="18">
        <f t="shared" si="0"/>
        <v>2030</v>
      </c>
      <c r="S4" s="18">
        <f t="shared" si="0"/>
        <v>2031</v>
      </c>
      <c r="T4" s="18">
        <f t="shared" si="0"/>
        <v>2032</v>
      </c>
      <c r="U4" s="18">
        <f t="shared" si="0"/>
        <v>2033</v>
      </c>
      <c r="V4" s="18">
        <f t="shared" si="0"/>
        <v>2034</v>
      </c>
      <c r="W4" s="18">
        <f t="shared" si="0"/>
        <v>2035</v>
      </c>
      <c r="X4" s="18">
        <f t="shared" si="0"/>
        <v>2036</v>
      </c>
      <c r="Y4" s="18">
        <f t="shared" si="0"/>
        <v>2037</v>
      </c>
      <c r="Z4" s="18">
        <f t="shared" si="0"/>
        <v>2038</v>
      </c>
      <c r="AA4" s="18">
        <f t="shared" si="0"/>
        <v>2039</v>
      </c>
      <c r="AB4" s="18">
        <f t="shared" si="0"/>
        <v>2040</v>
      </c>
      <c r="AC4" s="18">
        <f t="shared" si="0"/>
        <v>2041</v>
      </c>
      <c r="AD4" s="18">
        <f t="shared" si="0"/>
        <v>2042</v>
      </c>
      <c r="AE4" s="18">
        <f t="shared" si="0"/>
        <v>2043</v>
      </c>
      <c r="AF4" s="18">
        <f t="shared" si="0"/>
        <v>2044</v>
      </c>
    </row>
    <row r="5" spans="1:33" s="1" customFormat="1" ht="13.5" x14ac:dyDescent="0.25">
      <c r="A5" s="308" t="s">
        <v>180</v>
      </c>
      <c r="B5" s="309">
        <f>C5+NPV($C$17,D5:AF5)</f>
        <v>328881350.70430189</v>
      </c>
      <c r="C5" s="310">
        <f>'Obliczenia-AF'!D282</f>
        <v>0</v>
      </c>
      <c r="D5" s="310">
        <f>'Obliczenia-AF'!E282</f>
        <v>2128996.1309273541</v>
      </c>
      <c r="E5" s="310">
        <f>'Obliczenia-AF'!F282</f>
        <v>2128996.1309273541</v>
      </c>
      <c r="F5" s="310">
        <f>'Obliczenia-AF'!G282</f>
        <v>2239450.0909731984</v>
      </c>
      <c r="G5" s="310">
        <f>'Obliczenia-AF'!H282</f>
        <v>5111253.0521648526</v>
      </c>
      <c r="H5" s="310">
        <f>'Obliczenia-AF'!I282</f>
        <v>8756233.7336773276</v>
      </c>
      <c r="I5" s="310">
        <f>'Obliczenia-AF'!J282</f>
        <v>28607570.303235203</v>
      </c>
      <c r="J5" s="310">
        <f>'Obliczenia-AF'!K282</f>
        <v>28607570.303235203</v>
      </c>
      <c r="K5" s="310">
        <f>'Obliczenia-AF'!L282</f>
        <v>28607570.303235203</v>
      </c>
      <c r="L5" s="310">
        <f>'Obliczenia-AF'!M282</f>
        <v>28607570.303235203</v>
      </c>
      <c r="M5" s="310">
        <f>'Obliczenia-AF'!N282</f>
        <v>28607570.303235203</v>
      </c>
      <c r="N5" s="310">
        <f>'Obliczenia-AF'!O282</f>
        <v>28607570.303235203</v>
      </c>
      <c r="O5" s="310">
        <f>'Obliczenia-AF'!P282</f>
        <v>28607570.303235203</v>
      </c>
      <c r="P5" s="310">
        <f>'Obliczenia-AF'!Q282</f>
        <v>28607570.303235203</v>
      </c>
      <c r="Q5" s="310">
        <f>'Obliczenia-AF'!R282</f>
        <v>28607570.303235203</v>
      </c>
      <c r="R5" s="310">
        <f>'Obliczenia-AF'!S282</f>
        <v>28607570.303235203</v>
      </c>
      <c r="S5" s="310">
        <f>'Obliczenia-AF'!T282</f>
        <v>29265221.318891227</v>
      </c>
      <c r="T5" s="310">
        <f>'Obliczenia-AF'!U282</f>
        <v>29265221.318891227</v>
      </c>
      <c r="U5" s="310">
        <f>'Obliczenia-AF'!V282</f>
        <v>29265221.318891227</v>
      </c>
      <c r="V5" s="310">
        <f>'Obliczenia-AF'!W282</f>
        <v>29265221.318891227</v>
      </c>
      <c r="W5" s="310">
        <f>'Obliczenia-AF'!X282</f>
        <v>28241540.706672698</v>
      </c>
      <c r="X5" s="310">
        <f>'Obliczenia-AF'!Y282</f>
        <v>26851830.497891665</v>
      </c>
      <c r="Y5" s="310">
        <f>'Obliczenia-AF'!Z282</f>
        <v>29411032.028437972</v>
      </c>
      <c r="Z5" s="310">
        <f>'Obliczenia-AF'!AA282</f>
        <v>29411032.028437972</v>
      </c>
      <c r="AA5" s="310">
        <f>'Obliczenia-AF'!AB282</f>
        <v>29411032.028437972</v>
      </c>
      <c r="AB5" s="310">
        <f>'Obliczenia-AF'!AC282</f>
        <v>29411032.028437972</v>
      </c>
      <c r="AC5" s="310">
        <f>'Obliczenia-AF'!AD282</f>
        <v>29803837.574529648</v>
      </c>
      <c r="AD5" s="310">
        <f>'Obliczenia-AF'!AE282</f>
        <v>29803837.574529648</v>
      </c>
      <c r="AE5" s="310">
        <f>'Obliczenia-AF'!AF282</f>
        <v>29803837.574529648</v>
      </c>
      <c r="AF5" s="310">
        <f>'Obliczenia-AF'!AG282</f>
        <v>29803837.574529648</v>
      </c>
    </row>
    <row r="6" spans="1:33" s="1" customFormat="1" ht="13.5" x14ac:dyDescent="0.25">
      <c r="A6" s="308" t="s">
        <v>181</v>
      </c>
      <c r="B6" s="309">
        <f>C6+NPV($C$17,D6:AF6)</f>
        <v>186777792.59974998</v>
      </c>
      <c r="C6" s="310">
        <f>'Obliczenia-AF'!D225-'Obliczenia-AF'!D217+'Obliczenia-AF'!D240-'Obliczenia-AF'!D232</f>
        <v>0</v>
      </c>
      <c r="D6" s="310">
        <f>'Obliczenia-AF'!E225-'Obliczenia-AF'!E217+'Obliczenia-AF'!E240-'Obliczenia-AF'!E232</f>
        <v>2142000</v>
      </c>
      <c r="E6" s="310">
        <f>'Obliczenia-AF'!F225-'Obliczenia-AF'!F217+'Obliczenia-AF'!F240-'Obliczenia-AF'!F232</f>
        <v>2148556</v>
      </c>
      <c r="F6" s="310">
        <f>'Obliczenia-AF'!G225-'Obliczenia-AF'!G217+'Obliczenia-AF'!G240-'Obliczenia-AF'!G232</f>
        <v>2263076</v>
      </c>
      <c r="G6" s="310">
        <f>'Obliczenia-AF'!H225-'Obliczenia-AF'!H217+'Obliczenia-AF'!H240-'Obliczenia-AF'!H232</f>
        <v>2263076</v>
      </c>
      <c r="H6" s="310">
        <f>'Obliczenia-AF'!I225-'Obliczenia-AF'!I217+'Obliczenia-AF'!I240-'Obliczenia-AF'!I232</f>
        <v>5863918</v>
      </c>
      <c r="I6" s="310">
        <f>'Obliczenia-AF'!J225-'Obliczenia-AF'!J217+'Obliczenia-AF'!J240-'Obliczenia-AF'!J232</f>
        <v>16128763.300000001</v>
      </c>
      <c r="J6" s="310">
        <f>'Obliczenia-AF'!K225-'Obliczenia-AF'!K217+'Obliczenia-AF'!K240-'Obliczenia-AF'!K232</f>
        <v>16128763.300000001</v>
      </c>
      <c r="K6" s="310">
        <f>'Obliczenia-AF'!L225-'Obliczenia-AF'!L217+'Obliczenia-AF'!L240-'Obliczenia-AF'!L232</f>
        <v>16128763.300000001</v>
      </c>
      <c r="L6" s="310">
        <f>'Obliczenia-AF'!M225-'Obliczenia-AF'!M217+'Obliczenia-AF'!M240-'Obliczenia-AF'!M232</f>
        <v>16128763.300000001</v>
      </c>
      <c r="M6" s="310">
        <f>'Obliczenia-AF'!N225-'Obliczenia-AF'!N217+'Obliczenia-AF'!N240-'Obliczenia-AF'!N232</f>
        <v>16128763.300000001</v>
      </c>
      <c r="N6" s="310">
        <f>'Obliczenia-AF'!O225-'Obliczenia-AF'!O217+'Obliczenia-AF'!O240-'Obliczenia-AF'!O232</f>
        <v>16128763.300000001</v>
      </c>
      <c r="O6" s="310">
        <f>'Obliczenia-AF'!P225-'Obliczenia-AF'!P217+'Obliczenia-AF'!P240-'Obliczenia-AF'!P232</f>
        <v>16128763.300000001</v>
      </c>
      <c r="P6" s="310">
        <f>'Obliczenia-AF'!Q225-'Obliczenia-AF'!Q217+'Obliczenia-AF'!Q240-'Obliczenia-AF'!Q232</f>
        <v>16128763.300000001</v>
      </c>
      <c r="Q6" s="310">
        <f>'Obliczenia-AF'!R225-'Obliczenia-AF'!R217+'Obliczenia-AF'!R240-'Obliczenia-AF'!R232</f>
        <v>16128763.300000001</v>
      </c>
      <c r="R6" s="310">
        <f>'Obliczenia-AF'!S225-'Obliczenia-AF'!S217+'Obliczenia-AF'!S240-'Obliczenia-AF'!S232</f>
        <v>16128763.300000001</v>
      </c>
      <c r="S6" s="310">
        <f>'Obliczenia-AF'!T225-'Obliczenia-AF'!T217+'Obliczenia-AF'!T240-'Obliczenia-AF'!T232</f>
        <v>16128763.299999999</v>
      </c>
      <c r="T6" s="310">
        <f>'Obliczenia-AF'!U225-'Obliczenia-AF'!U217+'Obliczenia-AF'!U240-'Obliczenia-AF'!U232</f>
        <v>16128763.299999999</v>
      </c>
      <c r="U6" s="310">
        <f>'Obliczenia-AF'!V225-'Obliczenia-AF'!V217+'Obliczenia-AF'!V240-'Obliczenia-AF'!V232</f>
        <v>16128763.299999999</v>
      </c>
      <c r="V6" s="310">
        <f>'Obliczenia-AF'!W225-'Obliczenia-AF'!W217+'Obliczenia-AF'!W240-'Obliczenia-AF'!W232</f>
        <v>16128763.299999999</v>
      </c>
      <c r="W6" s="310">
        <f>'Obliczenia-AF'!X225-'Obliczenia-AF'!X217+'Obliczenia-AF'!X240-'Obliczenia-AF'!X232</f>
        <v>16128763.300000003</v>
      </c>
      <c r="X6" s="310">
        <f>'Obliczenia-AF'!Y225-'Obliczenia-AF'!Y217+'Obliczenia-AF'!Y240-'Obliczenia-AF'!Y232</f>
        <v>16128763.300000001</v>
      </c>
      <c r="Y6" s="310">
        <f>'Obliczenia-AF'!Z225-'Obliczenia-AF'!Z217+'Obliczenia-AF'!Z240-'Obliczenia-AF'!Z232</f>
        <v>16128763.300000001</v>
      </c>
      <c r="Z6" s="310">
        <f>'Obliczenia-AF'!AA225-'Obliczenia-AF'!AA217+'Obliczenia-AF'!AA240-'Obliczenia-AF'!AA232</f>
        <v>16128763.300000001</v>
      </c>
      <c r="AA6" s="310">
        <f>'Obliczenia-AF'!AB225-'Obliczenia-AF'!AB217+'Obliczenia-AF'!AB240-'Obliczenia-AF'!AB232</f>
        <v>16128763.300000001</v>
      </c>
      <c r="AB6" s="310">
        <f>'Obliczenia-AF'!AC225-'Obliczenia-AF'!AC217+'Obliczenia-AF'!AC240-'Obliczenia-AF'!AC232</f>
        <v>16128763.300000001</v>
      </c>
      <c r="AC6" s="310">
        <f>'Obliczenia-AF'!AD225-'Obliczenia-AF'!AD217+'Obliczenia-AF'!AD240-'Obliczenia-AF'!AD232</f>
        <v>16128763.300000001</v>
      </c>
      <c r="AD6" s="310">
        <f>'Obliczenia-AF'!AE225-'Obliczenia-AF'!AE217+'Obliczenia-AF'!AE240-'Obliczenia-AF'!AE232</f>
        <v>16128763.300000001</v>
      </c>
      <c r="AE6" s="310">
        <f>'Obliczenia-AF'!AF225-'Obliczenia-AF'!AF217+'Obliczenia-AF'!AF240-'Obliczenia-AF'!AF232</f>
        <v>16128763.300000001</v>
      </c>
      <c r="AF6" s="310">
        <f>'Obliczenia-AF'!AG225-'Obliczenia-AF'!AG217+'Obliczenia-AF'!AG240-'Obliczenia-AF'!AG232</f>
        <v>16128763.300000001</v>
      </c>
    </row>
    <row r="7" spans="1:33" s="1" customFormat="1" ht="13.5" x14ac:dyDescent="0.25">
      <c r="A7" s="308" t="s">
        <v>182</v>
      </c>
      <c r="B7" s="309">
        <f>C7+NPV($C$17,D7:AF7)</f>
        <v>1921594.674021279</v>
      </c>
      <c r="C7" s="310">
        <f>'Założenia-dane wejściowe '!E307</f>
        <v>0</v>
      </c>
      <c r="D7" s="310">
        <f>'Założenia-dane wejściowe '!F307</f>
        <v>179013.38062416611</v>
      </c>
      <c r="E7" s="310">
        <f>'Założenia-dane wejściowe '!G307</f>
        <v>0</v>
      </c>
      <c r="F7" s="310">
        <f>'Założenia-dane wejściowe '!H307</f>
        <v>9078.4076750008971</v>
      </c>
      <c r="G7" s="310">
        <f>'Założenia-dane wejściowe '!I307</f>
        <v>236038.59954999899</v>
      </c>
      <c r="H7" s="310">
        <f>'Założenia-dane wejściowe '!J307</f>
        <v>299587.45327499782</v>
      </c>
      <c r="I7" s="310">
        <f>'Założenia-dane wejściowe '!K307</f>
        <v>1717065.1605116064</v>
      </c>
      <c r="J7" s="310">
        <f>'Założenia-dane wejściowe '!L307</f>
        <v>0</v>
      </c>
      <c r="K7" s="310">
        <f>'Założenia-dane wejściowe '!M307</f>
        <v>0</v>
      </c>
      <c r="L7" s="310">
        <f>'Założenia-dane wejściowe '!N307</f>
        <v>0</v>
      </c>
      <c r="M7" s="310">
        <f>'Założenia-dane wejściowe '!O307</f>
        <v>0</v>
      </c>
      <c r="N7" s="310">
        <f>'Założenia-dane wejściowe '!P307</f>
        <v>0</v>
      </c>
      <c r="O7" s="310">
        <f>'Założenia-dane wejściowe '!Q307</f>
        <v>0</v>
      </c>
      <c r="P7" s="310">
        <f>'Założenia-dane wejściowe '!R307</f>
        <v>0</v>
      </c>
      <c r="Q7" s="310">
        <f>'Założenia-dane wejściowe '!S307</f>
        <v>0</v>
      </c>
      <c r="R7" s="310">
        <f>'Założenia-dane wejściowe '!T307</f>
        <v>0</v>
      </c>
      <c r="S7" s="310">
        <f>'Założenia-dane wejściowe '!U307</f>
        <v>54053.508136111312</v>
      </c>
      <c r="T7" s="310">
        <f>'Założenia-dane wejściowe '!V307</f>
        <v>0</v>
      </c>
      <c r="U7" s="310">
        <f>'Założenia-dane wejściowe '!W307</f>
        <v>0</v>
      </c>
      <c r="V7" s="310">
        <f>'Założenia-dane wejściowe '!X307</f>
        <v>0</v>
      </c>
      <c r="W7" s="310">
        <f>'Założenia-dane wejściowe '!Y307</f>
        <v>-84138.132511111442</v>
      </c>
      <c r="X7" s="310">
        <f>'Założenia-dane wejściowe '!Z307</f>
        <v>-114222.75688611297</v>
      </c>
      <c r="Y7" s="310">
        <f>'Założenia-dane wejściowe '!AA307</f>
        <v>210345.33127777884</v>
      </c>
      <c r="Z7" s="310">
        <f>'Założenia-dane wejściowe '!AB307</f>
        <v>0</v>
      </c>
      <c r="AA7" s="310">
        <f>'Założenia-dane wejściowe '!AC307</f>
        <v>0</v>
      </c>
      <c r="AB7" s="310">
        <f>'Założenia-dane wejściowe '!AD307</f>
        <v>0</v>
      </c>
      <c r="AC7" s="310">
        <f>'Założenia-dane wejściowe '!AE307</f>
        <v>32285.387350000907</v>
      </c>
      <c r="AD7" s="310">
        <f>'Założenia-dane wejściowe '!AF307</f>
        <v>0</v>
      </c>
      <c r="AE7" s="310">
        <f>'Założenia-dane wejściowe '!AG307</f>
        <v>0</v>
      </c>
      <c r="AF7" s="310">
        <f>'Założenia-dane wejściowe '!AH307</f>
        <v>0</v>
      </c>
    </row>
    <row r="8" spans="1:33" s="91" customFormat="1" ht="13.5" x14ac:dyDescent="0.25">
      <c r="A8" s="311" t="s">
        <v>183</v>
      </c>
      <c r="B8" s="312">
        <f>C8+NPV($C$17,D8:AF8)</f>
        <v>144025152.77857324</v>
      </c>
      <c r="C8" s="313">
        <f>C5-C6+C7</f>
        <v>0</v>
      </c>
      <c r="D8" s="313">
        <f>D5-D6+D7</f>
        <v>166009.51155152021</v>
      </c>
      <c r="E8" s="313">
        <f t="shared" ref="E8:AF8" si="1">E5-E6+E7</f>
        <v>-19559.869072645903</v>
      </c>
      <c r="F8" s="313">
        <f t="shared" si="1"/>
        <v>-14547.501351800689</v>
      </c>
      <c r="G8" s="313">
        <f t="shared" si="1"/>
        <v>3084215.6517148516</v>
      </c>
      <c r="H8" s="313">
        <f t="shared" si="1"/>
        <v>3191903.1869523255</v>
      </c>
      <c r="I8" s="313">
        <f t="shared" si="1"/>
        <v>14195872.163746808</v>
      </c>
      <c r="J8" s="313">
        <f t="shared" si="1"/>
        <v>12478807.003235202</v>
      </c>
      <c r="K8" s="313">
        <f t="shared" si="1"/>
        <v>12478807.003235202</v>
      </c>
      <c r="L8" s="313">
        <f t="shared" si="1"/>
        <v>12478807.003235202</v>
      </c>
      <c r="M8" s="313">
        <f t="shared" si="1"/>
        <v>12478807.003235202</v>
      </c>
      <c r="N8" s="313">
        <f t="shared" si="1"/>
        <v>12478807.003235202</v>
      </c>
      <c r="O8" s="313">
        <f t="shared" si="1"/>
        <v>12478807.003235202</v>
      </c>
      <c r="P8" s="313">
        <f t="shared" si="1"/>
        <v>12478807.003235202</v>
      </c>
      <c r="Q8" s="313">
        <f t="shared" si="1"/>
        <v>12478807.003235202</v>
      </c>
      <c r="R8" s="313">
        <f t="shared" si="1"/>
        <v>12478807.003235202</v>
      </c>
      <c r="S8" s="313">
        <f t="shared" si="1"/>
        <v>13190511.527027339</v>
      </c>
      <c r="T8" s="313">
        <f t="shared" si="1"/>
        <v>13136458.018891228</v>
      </c>
      <c r="U8" s="313">
        <f t="shared" si="1"/>
        <v>13136458.018891228</v>
      </c>
      <c r="V8" s="313">
        <f t="shared" si="1"/>
        <v>13136458.018891228</v>
      </c>
      <c r="W8" s="313">
        <f t="shared" si="1"/>
        <v>12028639.274161585</v>
      </c>
      <c r="X8" s="313">
        <f t="shared" si="1"/>
        <v>10608844.44100555</v>
      </c>
      <c r="Y8" s="313">
        <f t="shared" si="1"/>
        <v>13492614.05971575</v>
      </c>
      <c r="Z8" s="313">
        <f t="shared" si="1"/>
        <v>13282268.728437971</v>
      </c>
      <c r="AA8" s="313">
        <f t="shared" si="1"/>
        <v>13282268.728437971</v>
      </c>
      <c r="AB8" s="313">
        <f t="shared" si="1"/>
        <v>13282268.728437971</v>
      </c>
      <c r="AC8" s="313">
        <f t="shared" si="1"/>
        <v>13707359.661879648</v>
      </c>
      <c r="AD8" s="313">
        <f t="shared" si="1"/>
        <v>13675074.274529647</v>
      </c>
      <c r="AE8" s="313">
        <f t="shared" si="1"/>
        <v>13675074.274529647</v>
      </c>
      <c r="AF8" s="313">
        <f t="shared" si="1"/>
        <v>13675074.274529647</v>
      </c>
    </row>
    <row r="9" spans="1:33" s="361" customFormat="1" ht="13.5" x14ac:dyDescent="0.25">
      <c r="A9" s="358"/>
      <c r="B9" s="359"/>
      <c r="C9" s="358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</row>
    <row r="10" spans="1:33" s="1" customFormat="1" ht="13.5" x14ac:dyDescent="0.25">
      <c r="A10" s="308" t="s">
        <v>184</v>
      </c>
      <c r="B10" s="309">
        <f>C10+NPV(C17,D10:AF10)</f>
        <v>66446179.712220542</v>
      </c>
      <c r="C10" s="308">
        <f>'Obliczenia-AF'!D44+'Obliczenia-AF'!D45</f>
        <v>0</v>
      </c>
      <c r="D10" s="308">
        <f>'Obliczenia-AF'!E44+'Obliczenia-AF'!E45</f>
        <v>0</v>
      </c>
      <c r="E10" s="308">
        <f>'Obliczenia-AF'!F44+'Obliczenia-AF'!F45</f>
        <v>0</v>
      </c>
      <c r="F10" s="308">
        <f>'Obliczenia-AF'!G44+'Obliczenia-AF'!G45</f>
        <v>0</v>
      </c>
      <c r="G10" s="308">
        <f>'Obliczenia-AF'!H44+'Obliczenia-AF'!H45</f>
        <v>0</v>
      </c>
      <c r="H10" s="308">
        <f>'Obliczenia-AF'!I44+'Obliczenia-AF'!I45</f>
        <v>0</v>
      </c>
      <c r="I10" s="308">
        <f>'Obliczenia-AF'!J44+'Obliczenia-AF'!J45</f>
        <v>0</v>
      </c>
      <c r="J10" s="308">
        <f>'Obliczenia-AF'!K44+'Obliczenia-AF'!K45</f>
        <v>0</v>
      </c>
      <c r="K10" s="308">
        <f>'Obliczenia-AF'!L44+'Obliczenia-AF'!L45</f>
        <v>0</v>
      </c>
      <c r="L10" s="308">
        <f>'Obliczenia-AF'!M44+'Obliczenia-AF'!M45</f>
        <v>0</v>
      </c>
      <c r="M10" s="308">
        <f>'Obliczenia-AF'!N44+'Obliczenia-AF'!N45</f>
        <v>0</v>
      </c>
      <c r="N10" s="308">
        <f>'Obliczenia-AF'!O44+'Obliczenia-AF'!O45</f>
        <v>0</v>
      </c>
      <c r="O10" s="308">
        <f>'Obliczenia-AF'!P44+'Obliczenia-AF'!P45</f>
        <v>0</v>
      </c>
      <c r="P10" s="308">
        <f>'Obliczenia-AF'!Q44+'Obliczenia-AF'!Q45</f>
        <v>0</v>
      </c>
      <c r="Q10" s="308">
        <f>'Obliczenia-AF'!R44+'Obliczenia-AF'!R45</f>
        <v>0</v>
      </c>
      <c r="R10" s="308">
        <f>'Obliczenia-AF'!S44+'Obliczenia-AF'!S45</f>
        <v>0</v>
      </c>
      <c r="S10" s="308">
        <f>'Obliczenia-AF'!T44+'Obliczenia-AF'!T45</f>
        <v>0</v>
      </c>
      <c r="T10" s="308">
        <f>'Obliczenia-AF'!U44+'Obliczenia-AF'!U45</f>
        <v>0</v>
      </c>
      <c r="U10" s="308">
        <f>'Obliczenia-AF'!V44+'Obliczenia-AF'!V45</f>
        <v>0</v>
      </c>
      <c r="V10" s="308">
        <f>'Obliczenia-AF'!W44+'Obliczenia-AF'!W45</f>
        <v>0</v>
      </c>
      <c r="W10" s="308">
        <f>'Obliczenia-AF'!X44+'Obliczenia-AF'!X45</f>
        <v>0</v>
      </c>
      <c r="X10" s="308">
        <f>'Obliczenia-AF'!Y44+'Obliczenia-AF'!Y45</f>
        <v>0</v>
      </c>
      <c r="Y10" s="308">
        <f>'Obliczenia-AF'!Z44+'Obliczenia-AF'!Z45</f>
        <v>0</v>
      </c>
      <c r="Z10" s="308">
        <f>'Obliczenia-AF'!AA44+'Obliczenia-AF'!AA45</f>
        <v>0</v>
      </c>
      <c r="AA10" s="308">
        <f>'Obliczenia-AF'!AB44+'Obliczenia-AF'!AB45</f>
        <v>0</v>
      </c>
      <c r="AB10" s="308">
        <f>'Obliczenia-AF'!AC44+'Obliczenia-AF'!AC45</f>
        <v>0</v>
      </c>
      <c r="AC10" s="308">
        <f>'Obliczenia-AF'!AD44+'Obliczenia-AF'!AD45</f>
        <v>0</v>
      </c>
      <c r="AD10" s="308">
        <f>'Obliczenia-AF'!AE44+'Obliczenia-AF'!AE45</f>
        <v>0</v>
      </c>
      <c r="AE10" s="308">
        <f>'Obliczenia-AF'!AF44+'Obliczenia-AF'!AF45</f>
        <v>0</v>
      </c>
      <c r="AF10" s="314">
        <f>(AF5-AF6+AF7)/0.05</f>
        <v>273501485.4905929</v>
      </c>
    </row>
    <row r="11" spans="1:33" s="1" customFormat="1" ht="13.5" x14ac:dyDescent="0.25">
      <c r="A11" s="308" t="s">
        <v>29</v>
      </c>
      <c r="B11" s="309">
        <f>C11+NPV(C17,D11:AF11)</f>
        <v>382176659.28034097</v>
      </c>
      <c r="C11" s="309">
        <f>'Założenia-dane wejściowe '!D278+'Założenia-dane wejściowe '!D216</f>
        <v>13373500</v>
      </c>
      <c r="D11" s="309">
        <f>'Założenia-dane wejściowe '!E278+'Założenia-dane wejściowe '!E216</f>
        <v>70341000</v>
      </c>
      <c r="E11" s="309">
        <f>'Założenia-dane wejściowe '!F278+'Założenia-dane wejściowe '!F216</f>
        <v>136987000</v>
      </c>
      <c r="F11" s="309">
        <f>'Założenia-dane wejściowe '!G278+'Założenia-dane wejściowe '!G216</f>
        <v>88248770</v>
      </c>
      <c r="G11" s="309">
        <f>'Założenia-dane wejściowe '!H278+'Założenia-dane wejściowe '!H216</f>
        <v>82375189</v>
      </c>
      <c r="H11" s="309">
        <f>'Założenia-dane wejściowe '!I278+'Założenia-dane wejściowe '!I216</f>
        <v>42828954</v>
      </c>
      <c r="I11" s="309">
        <f>'Założenia-dane wejściowe '!J278+'Założenia-dane wejściowe '!J216</f>
        <v>0</v>
      </c>
      <c r="J11" s="309">
        <f>'Założenia-dane wejściowe '!K278+'Założenia-dane wejściowe '!K216</f>
        <v>0</v>
      </c>
      <c r="K11" s="309">
        <f>'Założenia-dane wejściowe '!L278+'Założenia-dane wejściowe '!L216</f>
        <v>0</v>
      </c>
      <c r="L11" s="309">
        <f>'Założenia-dane wejściowe '!M278+'Założenia-dane wejściowe '!M216</f>
        <v>0</v>
      </c>
      <c r="M11" s="309">
        <f>'Założenia-dane wejściowe '!N278+'Założenia-dane wejściowe '!N216</f>
        <v>0</v>
      </c>
      <c r="N11" s="309">
        <f>'Założenia-dane wejściowe '!O278+'Założenia-dane wejściowe '!O216</f>
        <v>0</v>
      </c>
      <c r="O11" s="309">
        <f>'Założenia-dane wejściowe '!P278+'Założenia-dane wejściowe '!P216</f>
        <v>0</v>
      </c>
      <c r="P11" s="309">
        <f>'Założenia-dane wejściowe '!Q278+'Założenia-dane wejściowe '!Q216</f>
        <v>0</v>
      </c>
      <c r="Q11" s="309">
        <f>'Założenia-dane wejściowe '!R278+'Założenia-dane wejściowe '!R216</f>
        <v>0</v>
      </c>
      <c r="R11" s="309">
        <f>'Założenia-dane wejściowe '!S278+'Założenia-dane wejściowe '!S216</f>
        <v>0</v>
      </c>
      <c r="S11" s="309">
        <f>'Założenia-dane wejściowe '!T278+'Założenia-dane wejściowe '!T216</f>
        <v>0</v>
      </c>
      <c r="T11" s="309">
        <f>'Założenia-dane wejściowe '!U278+'Założenia-dane wejściowe '!U216</f>
        <v>0</v>
      </c>
      <c r="U11" s="309">
        <f>'Założenia-dane wejściowe '!V278+'Założenia-dane wejściowe '!V216</f>
        <v>0</v>
      </c>
      <c r="V11" s="309">
        <f>'Założenia-dane wejściowe '!W278+'Założenia-dane wejściowe '!W216</f>
        <v>0</v>
      </c>
      <c r="W11" s="309">
        <f>'Założenia-dane wejściowe '!X278+'Założenia-dane wejściowe '!X216</f>
        <v>0</v>
      </c>
      <c r="X11" s="309">
        <f>'Założenia-dane wejściowe '!Y278+'Założenia-dane wejściowe '!Y216</f>
        <v>0</v>
      </c>
      <c r="Y11" s="309">
        <f>'Założenia-dane wejściowe '!Z278+'Założenia-dane wejściowe '!Z216</f>
        <v>0</v>
      </c>
      <c r="Z11" s="309">
        <f>'Założenia-dane wejściowe '!AA278+'Założenia-dane wejściowe '!AA216</f>
        <v>0</v>
      </c>
      <c r="AA11" s="309">
        <f>'Założenia-dane wejściowe '!AB278+'Założenia-dane wejściowe '!AB216</f>
        <v>0</v>
      </c>
      <c r="AB11" s="309">
        <f>'Założenia-dane wejściowe '!AC278+'Założenia-dane wejściowe '!AC216</f>
        <v>0</v>
      </c>
      <c r="AC11" s="309">
        <f>'Założenia-dane wejściowe '!AD278+'Założenia-dane wejściowe '!AD216</f>
        <v>0</v>
      </c>
      <c r="AD11" s="309">
        <f>'Założenia-dane wejściowe '!AE278+'Założenia-dane wejściowe '!AE216</f>
        <v>0</v>
      </c>
      <c r="AE11" s="309">
        <f>'Założenia-dane wejściowe '!AF278+'Założenia-dane wejściowe '!AF216</f>
        <v>0</v>
      </c>
      <c r="AF11" s="309">
        <f>'Założenia-dane wejściowe '!AG278+'Założenia-dane wejściowe '!AG216</f>
        <v>0</v>
      </c>
    </row>
    <row r="12" spans="1:33" s="1" customFormat="1" ht="27" x14ac:dyDescent="0.25">
      <c r="A12" s="308" t="s">
        <v>185</v>
      </c>
      <c r="B12" s="309">
        <f>C12+NPV(C17,D12:AF12)</f>
        <v>498023033.07597005</v>
      </c>
      <c r="C12" s="309">
        <f>'Założenia-dane wejściowe '!D215+'Założenia-dane wejściowe '!D277</f>
        <v>16449405</v>
      </c>
      <c r="D12" s="309">
        <f>'Założenia-dane wejściowe '!E215+'Założenia-dane wejściowe '!E277</f>
        <v>84840430</v>
      </c>
      <c r="E12" s="309">
        <f>'Założenia-dane wejściowe '!F215+'Założenia-dane wejściowe '!F277</f>
        <v>158558010</v>
      </c>
      <c r="F12" s="309">
        <f>'Założenia-dane wejściowe '!G215+'Założenia-dane wejściowe '!G277</f>
        <v>108315987.09999999</v>
      </c>
      <c r="G12" s="309">
        <f>'Założenia-dane wejściowe '!H215+'Założenia-dane wejściowe '!H277</f>
        <v>101091482.47</v>
      </c>
      <c r="H12" s="309">
        <f>'Założenia-dane wejściowe '!I215+'Założenia-dane wejściowe '!I277</f>
        <v>52449613.420000002</v>
      </c>
      <c r="I12" s="309">
        <f>'Założenia-dane wejściowe '!K298</f>
        <v>0</v>
      </c>
      <c r="J12" s="309">
        <f>'Założenia-dane wejściowe '!L298</f>
        <v>0</v>
      </c>
      <c r="K12" s="309">
        <f>'Założenia-dane wejściowe '!M298</f>
        <v>0</v>
      </c>
      <c r="L12" s="309">
        <f>'Założenia-dane wejściowe '!N298</f>
        <v>0</v>
      </c>
      <c r="M12" s="309">
        <f>'Założenia-dane wejściowe '!O298</f>
        <v>0</v>
      </c>
      <c r="N12" s="309">
        <f>'Założenia-dane wejściowe '!P298</f>
        <v>0</v>
      </c>
      <c r="O12" s="309">
        <f>'Założenia-dane wejściowe '!Q298</f>
        <v>0</v>
      </c>
      <c r="P12" s="309">
        <f>'Założenia-dane wejściowe '!R298</f>
        <v>0</v>
      </c>
      <c r="Q12" s="309">
        <f>'Założenia-dane wejściowe '!S298</f>
        <v>0</v>
      </c>
      <c r="R12" s="309">
        <f>'Założenia-dane wejściowe '!T298</f>
        <v>20854470.649999999</v>
      </c>
      <c r="S12" s="309">
        <f>'Założenia-dane wejściowe '!U298</f>
        <v>0</v>
      </c>
      <c r="T12" s="309">
        <f>'Założenia-dane wejściowe '!V298</f>
        <v>0</v>
      </c>
      <c r="U12" s="309">
        <f>'Założenia-dane wejściowe '!W298</f>
        <v>0</v>
      </c>
      <c r="V12" s="309">
        <f>'Założenia-dane wejściowe '!X298</f>
        <v>0</v>
      </c>
      <c r="W12" s="309">
        <f>'Założenia-dane wejściowe '!Y298</f>
        <v>20854470.649999999</v>
      </c>
      <c r="X12" s="309">
        <f>'Założenia-dane wejściowe '!Z298</f>
        <v>42000000</v>
      </c>
      <c r="Y12" s="309">
        <f>'Założenia-dane wejściowe '!AA298</f>
        <v>0</v>
      </c>
      <c r="Z12" s="309">
        <f>'Założenia-dane wejściowe '!AB298</f>
        <v>0</v>
      </c>
      <c r="AA12" s="309">
        <f>'Założenia-dane wejściowe '!AC298</f>
        <v>0</v>
      </c>
      <c r="AB12" s="309">
        <f>'Założenia-dane wejściowe '!AD298</f>
        <v>20854470.649999999</v>
      </c>
      <c r="AC12" s="309">
        <f>'Założenia-dane wejściowe '!AE298</f>
        <v>0</v>
      </c>
      <c r="AD12" s="309">
        <f>'Założenia-dane wejściowe '!AF298</f>
        <v>0</v>
      </c>
      <c r="AE12" s="309">
        <f>'Założenia-dane wejściowe '!AG298</f>
        <v>0</v>
      </c>
      <c r="AF12" s="309">
        <f>'Założenia-dane wejściowe '!AH298</f>
        <v>0</v>
      </c>
    </row>
    <row r="13" spans="1:33" s="51" customFormat="1" ht="13.5" x14ac:dyDescent="0.25">
      <c r="A13" s="315"/>
      <c r="B13" s="315"/>
      <c r="C13" s="315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</row>
    <row r="14" spans="1:33" s="69" customFormat="1" ht="15.75" x14ac:dyDescent="0.2">
      <c r="A14" s="233" t="s">
        <v>420</v>
      </c>
    </row>
    <row r="15" spans="1:33" s="1" customFormat="1" ht="27" x14ac:dyDescent="0.25">
      <c r="A15" s="18" t="s">
        <v>186</v>
      </c>
      <c r="B15" s="460" t="s">
        <v>187</v>
      </c>
      <c r="C15" s="461"/>
      <c r="D15" s="223" t="s">
        <v>188</v>
      </c>
      <c r="E15" s="223" t="s">
        <v>189</v>
      </c>
    </row>
    <row r="16" spans="1:33" s="1" customFormat="1" ht="13.5" x14ac:dyDescent="0.25">
      <c r="A16" s="2">
        <v>1</v>
      </c>
      <c r="B16" s="21" t="s">
        <v>190</v>
      </c>
      <c r="C16" s="317" t="str">
        <f>'Założenia-dane wejściowe '!C13</f>
        <v>szt.</v>
      </c>
      <c r="D16" s="362"/>
      <c r="E16" s="362"/>
    </row>
    <row r="17" spans="1:7" s="1" customFormat="1" ht="13.5" x14ac:dyDescent="0.25">
      <c r="A17" s="2">
        <v>2</v>
      </c>
      <c r="B17" s="21" t="s">
        <v>191</v>
      </c>
      <c r="C17" s="318">
        <f>'Założenia-dane wejściowe '!D5</f>
        <v>0.05</v>
      </c>
      <c r="D17" s="362"/>
      <c r="E17" s="362"/>
    </row>
    <row r="18" spans="1:7" s="1" customFormat="1" ht="13.5" x14ac:dyDescent="0.25">
      <c r="A18" s="2">
        <v>3</v>
      </c>
      <c r="B18" s="462" t="s">
        <v>192</v>
      </c>
      <c r="C18" s="462"/>
      <c r="D18" s="64">
        <f>C12+D12+E12+F12+G12+H12+SUM(I12:AF12)</f>
        <v>626268339.94000006</v>
      </c>
      <c r="E18" s="362"/>
    </row>
    <row r="19" spans="1:7" s="1" customFormat="1" ht="13.5" x14ac:dyDescent="0.25">
      <c r="A19" s="2">
        <v>4</v>
      </c>
      <c r="B19" s="462" t="s">
        <v>193</v>
      </c>
      <c r="C19" s="462"/>
      <c r="D19" s="363"/>
      <c r="E19" s="64">
        <f>B12</f>
        <v>498023033.07597005</v>
      </c>
    </row>
    <row r="20" spans="1:7" s="1" customFormat="1" ht="13.5" x14ac:dyDescent="0.25">
      <c r="A20" s="2">
        <v>5</v>
      </c>
      <c r="B20" s="462" t="s">
        <v>194</v>
      </c>
      <c r="C20" s="462"/>
      <c r="D20" s="64">
        <f>AF10</f>
        <v>273501485.4905929</v>
      </c>
      <c r="E20" s="362"/>
    </row>
    <row r="21" spans="1:7" s="1" customFormat="1" ht="13.5" x14ac:dyDescent="0.25">
      <c r="A21" s="2">
        <v>6</v>
      </c>
      <c r="B21" s="462" t="s">
        <v>195</v>
      </c>
      <c r="C21" s="462"/>
      <c r="D21" s="362"/>
      <c r="E21" s="64">
        <f>B10</f>
        <v>66446179.712220542</v>
      </c>
    </row>
    <row r="22" spans="1:7" s="1" customFormat="1" ht="13.5" x14ac:dyDescent="0.25">
      <c r="A22" s="2">
        <v>7</v>
      </c>
      <c r="B22" s="462" t="s">
        <v>196</v>
      </c>
      <c r="C22" s="462"/>
      <c r="D22" s="362"/>
      <c r="E22" s="64">
        <f>B5</f>
        <v>328881350.70430189</v>
      </c>
    </row>
    <row r="23" spans="1:7" s="1" customFormat="1" ht="13.5" x14ac:dyDescent="0.25">
      <c r="A23" s="2">
        <v>8</v>
      </c>
      <c r="B23" s="462" t="s">
        <v>197</v>
      </c>
      <c r="C23" s="462"/>
      <c r="D23" s="362"/>
      <c r="E23" s="64">
        <f>B6</f>
        <v>186777792.59974998</v>
      </c>
    </row>
    <row r="24" spans="1:7" s="1" customFormat="1" ht="13.5" x14ac:dyDescent="0.25">
      <c r="A24" s="2">
        <v>9</v>
      </c>
      <c r="B24" s="462" t="s">
        <v>198</v>
      </c>
      <c r="C24" s="462"/>
      <c r="D24" s="362"/>
      <c r="E24" s="64">
        <f>ROUND(E22-E23+E21,2)</f>
        <v>208549737.81999999</v>
      </c>
    </row>
    <row r="25" spans="1:7" s="1" customFormat="1" ht="13.5" x14ac:dyDescent="0.25">
      <c r="A25" s="2">
        <v>10</v>
      </c>
      <c r="B25" s="462" t="s">
        <v>199</v>
      </c>
      <c r="C25" s="462"/>
      <c r="D25" s="362"/>
      <c r="E25" s="64">
        <f>E19-E24</f>
        <v>289473295.25597006</v>
      </c>
    </row>
    <row r="26" spans="1:7" s="1" customFormat="1" ht="13.5" x14ac:dyDescent="0.25">
      <c r="A26" s="2">
        <v>11</v>
      </c>
      <c r="B26" s="319" t="s">
        <v>200</v>
      </c>
      <c r="C26" s="320">
        <f>ROUND(E25/E19,4)</f>
        <v>0.58120000000000005</v>
      </c>
      <c r="D26" s="362"/>
      <c r="E26" s="362"/>
    </row>
    <row r="27" spans="1:7" s="1" customFormat="1" ht="13.5" x14ac:dyDescent="0.25">
      <c r="A27" s="2">
        <v>12</v>
      </c>
      <c r="B27" s="463" t="s">
        <v>201</v>
      </c>
      <c r="C27" s="464"/>
      <c r="D27" s="57">
        <f>C11+D11+E11+F11+G11+H11</f>
        <v>434154413</v>
      </c>
      <c r="E27" s="362"/>
      <c r="G27" s="106"/>
    </row>
    <row r="28" spans="1:7" s="1" customFormat="1" ht="45" customHeight="1" x14ac:dyDescent="0.25">
      <c r="A28" s="2">
        <v>13</v>
      </c>
      <c r="B28" s="465" t="s">
        <v>202</v>
      </c>
      <c r="C28" s="465"/>
      <c r="D28" s="57">
        <f>ROUND(C26*D27,2)</f>
        <v>252330544.84</v>
      </c>
      <c r="E28" s="364"/>
    </row>
    <row r="29" spans="1:7" s="1" customFormat="1" ht="27" x14ac:dyDescent="0.25">
      <c r="A29" s="2">
        <v>14</v>
      </c>
      <c r="B29" s="321" t="s">
        <v>203</v>
      </c>
      <c r="C29" s="322">
        <v>0.85</v>
      </c>
      <c r="D29" s="362"/>
      <c r="E29" s="364"/>
    </row>
    <row r="30" spans="1:7" s="1" customFormat="1" ht="13.5" x14ac:dyDescent="0.25">
      <c r="A30" s="2">
        <v>15</v>
      </c>
      <c r="B30" s="458" t="s">
        <v>204</v>
      </c>
      <c r="C30" s="459"/>
      <c r="D30" s="57">
        <f>D28*C29</f>
        <v>214480963.11399999</v>
      </c>
      <c r="E30" s="364"/>
    </row>
    <row r="31" spans="1:7" s="1" customFormat="1" ht="13.5" x14ac:dyDescent="0.25">
      <c r="A31" s="2">
        <v>16</v>
      </c>
      <c r="B31" s="21" t="s">
        <v>205</v>
      </c>
      <c r="C31" s="320">
        <f>ROUND(D30/D27,4)</f>
        <v>0.49399999999999999</v>
      </c>
      <c r="D31" s="364"/>
      <c r="E31" s="364"/>
    </row>
    <row r="32" spans="1:7" s="168" customFormat="1" x14ac:dyDescent="0.2"/>
    <row r="33" spans="1:10" s="12" customFormat="1" ht="15.75" x14ac:dyDescent="0.2">
      <c r="A33" s="233" t="s">
        <v>421</v>
      </c>
    </row>
    <row r="34" spans="1:10" s="12" customFormat="1" x14ac:dyDescent="0.2">
      <c r="A34" s="323" t="s">
        <v>355</v>
      </c>
    </row>
    <row r="35" spans="1:10" s="1" customFormat="1" ht="13.5" x14ac:dyDescent="0.25">
      <c r="A35" s="19" t="s">
        <v>206</v>
      </c>
      <c r="B35" s="19">
        <v>2015</v>
      </c>
      <c r="C35" s="19">
        <f>B35+1</f>
        <v>2016</v>
      </c>
      <c r="D35" s="19">
        <f>C35+1</f>
        <v>2017</v>
      </c>
      <c r="E35" s="19">
        <f>D35+1</f>
        <v>2018</v>
      </c>
      <c r="F35" s="19">
        <f>E35+1</f>
        <v>2019</v>
      </c>
      <c r="G35" s="19">
        <f>F35+1</f>
        <v>2020</v>
      </c>
      <c r="H35" s="19" t="s">
        <v>207</v>
      </c>
    </row>
    <row r="36" spans="1:10" s="1" customFormat="1" ht="13.5" x14ac:dyDescent="0.25">
      <c r="A36" s="21" t="s">
        <v>208</v>
      </c>
      <c r="B36" s="4">
        <f t="shared" ref="B36:H36" si="2">B38-B37</f>
        <v>0.50600000000000001</v>
      </c>
      <c r="C36" s="4">
        <f t="shared" si="2"/>
        <v>0.50600000000000001</v>
      </c>
      <c r="D36" s="4">
        <f t="shared" si="2"/>
        <v>0.50600000000000001</v>
      </c>
      <c r="E36" s="4">
        <f t="shared" si="2"/>
        <v>0.50600000000000001</v>
      </c>
      <c r="F36" s="4">
        <f t="shared" si="2"/>
        <v>0.50600000000000001</v>
      </c>
      <c r="G36" s="4">
        <f t="shared" si="2"/>
        <v>0.50600000000000001</v>
      </c>
      <c r="H36" s="4">
        <f t="shared" si="2"/>
        <v>0.50600000000000001</v>
      </c>
    </row>
    <row r="37" spans="1:10" s="1" customFormat="1" ht="13.5" x14ac:dyDescent="0.25">
      <c r="A37" s="21" t="s">
        <v>209</v>
      </c>
      <c r="B37" s="4">
        <f t="shared" ref="B37:H37" si="3">ROUNDDOWN($C$31,4)</f>
        <v>0.49399999999999999</v>
      </c>
      <c r="C37" s="4">
        <f t="shared" si="3"/>
        <v>0.49399999999999999</v>
      </c>
      <c r="D37" s="4">
        <f t="shared" si="3"/>
        <v>0.49399999999999999</v>
      </c>
      <c r="E37" s="4">
        <f t="shared" si="3"/>
        <v>0.49399999999999999</v>
      </c>
      <c r="F37" s="4">
        <f t="shared" si="3"/>
        <v>0.49399999999999999</v>
      </c>
      <c r="G37" s="4">
        <f t="shared" si="3"/>
        <v>0.49399999999999999</v>
      </c>
      <c r="H37" s="4">
        <f t="shared" si="3"/>
        <v>0.49399999999999999</v>
      </c>
    </row>
    <row r="38" spans="1:10" s="1" customFormat="1" ht="13.5" x14ac:dyDescent="0.25">
      <c r="A38" s="324" t="s">
        <v>83</v>
      </c>
      <c r="B38" s="325">
        <v>1</v>
      </c>
      <c r="C38" s="325">
        <v>1</v>
      </c>
      <c r="D38" s="325">
        <v>1</v>
      </c>
      <c r="E38" s="325">
        <v>1</v>
      </c>
      <c r="F38" s="325">
        <v>1</v>
      </c>
      <c r="G38" s="325">
        <v>1</v>
      </c>
      <c r="H38" s="325">
        <v>1</v>
      </c>
    </row>
    <row r="39" spans="1:10" s="1" customFormat="1" ht="13.5" x14ac:dyDescent="0.25">
      <c r="A39" s="19" t="s">
        <v>210</v>
      </c>
      <c r="B39" s="19">
        <f t="shared" ref="B39:G39" si="4">B35</f>
        <v>2015</v>
      </c>
      <c r="C39" s="19">
        <f t="shared" si="4"/>
        <v>2016</v>
      </c>
      <c r="D39" s="19">
        <f t="shared" si="4"/>
        <v>2017</v>
      </c>
      <c r="E39" s="19">
        <f t="shared" si="4"/>
        <v>2018</v>
      </c>
      <c r="F39" s="19">
        <f t="shared" si="4"/>
        <v>2019</v>
      </c>
      <c r="G39" s="19">
        <f t="shared" si="4"/>
        <v>2020</v>
      </c>
      <c r="H39" s="19" t="s">
        <v>207</v>
      </c>
    </row>
    <row r="40" spans="1:10" s="1" customFormat="1" ht="13.5" x14ac:dyDescent="0.25">
      <c r="A40" s="21" t="s">
        <v>208</v>
      </c>
      <c r="B40" s="22">
        <f t="shared" ref="B40:H40" si="5">B42-B41</f>
        <v>6766991</v>
      </c>
      <c r="C40" s="22">
        <f t="shared" si="5"/>
        <v>35592546</v>
      </c>
      <c r="D40" s="22">
        <f t="shared" si="5"/>
        <v>69315422</v>
      </c>
      <c r="E40" s="22">
        <f t="shared" si="5"/>
        <v>44653877.619999997</v>
      </c>
      <c r="F40" s="22">
        <f t="shared" si="5"/>
        <v>41681845.640000001</v>
      </c>
      <c r="G40" s="22">
        <f t="shared" si="5"/>
        <v>21671450.73</v>
      </c>
      <c r="H40" s="23">
        <f t="shared" si="5"/>
        <v>219682132.98999998</v>
      </c>
    </row>
    <row r="41" spans="1:10" s="1" customFormat="1" ht="13.5" x14ac:dyDescent="0.25">
      <c r="A41" s="21" t="s">
        <v>209</v>
      </c>
      <c r="B41" s="22">
        <f>ROUNDDOWN($B$37*('Założenia-dane wejściowe '!D216+'Założenia-dane wejściowe '!D278),2)</f>
        <v>6606509</v>
      </c>
      <c r="C41" s="22">
        <f>ROUNDDOWN($B$37*('Założenia-dane wejściowe '!E216+'Założenia-dane wejściowe '!E278),2)</f>
        <v>34748454</v>
      </c>
      <c r="D41" s="22">
        <f>ROUNDDOWN($B$37*('Założenia-dane wejściowe '!F216+'Założenia-dane wejściowe '!F278),2)</f>
        <v>67671578</v>
      </c>
      <c r="E41" s="22">
        <f>ROUNDDOWN($B$37*('Założenia-dane wejściowe '!G216+'Założenia-dane wejściowe '!G278),2)</f>
        <v>43594892.380000003</v>
      </c>
      <c r="F41" s="22">
        <f>ROUNDDOWN($B$37*('Założenia-dane wejściowe '!H216+'Założenia-dane wejściowe '!H278),2)</f>
        <v>40693343.359999999</v>
      </c>
      <c r="G41" s="22">
        <f>ROUNDDOWN($B$37*('Założenia-dane wejściowe '!I216+'Założenia-dane wejściowe '!I278),2)</f>
        <v>21157503.27</v>
      </c>
      <c r="H41" s="23">
        <f>SUM(B41:G41)</f>
        <v>214472280.01000002</v>
      </c>
      <c r="J41" s="106"/>
    </row>
    <row r="42" spans="1:10" s="1" customFormat="1" ht="13.5" x14ac:dyDescent="0.25">
      <c r="A42" s="21" t="s">
        <v>83</v>
      </c>
      <c r="B42" s="22">
        <f>'Założenia-dane wejściowe '!D216+'Założenia-dane wejściowe '!D278</f>
        <v>13373500</v>
      </c>
      <c r="C42" s="22">
        <f>'Założenia-dane wejściowe '!E216+'Założenia-dane wejściowe '!E278</f>
        <v>70341000</v>
      </c>
      <c r="D42" s="22">
        <f>'Założenia-dane wejściowe '!F216+'Założenia-dane wejściowe '!F278</f>
        <v>136987000</v>
      </c>
      <c r="E42" s="22">
        <f>'Założenia-dane wejściowe '!G216+'Założenia-dane wejściowe '!G278</f>
        <v>88248770</v>
      </c>
      <c r="F42" s="22">
        <f>'Założenia-dane wejściowe '!H216+'Założenia-dane wejściowe '!H278</f>
        <v>82375189</v>
      </c>
      <c r="G42" s="22">
        <f>'Założenia-dane wejściowe '!I216+'Założenia-dane wejściowe '!I278</f>
        <v>42828954</v>
      </c>
      <c r="H42" s="23">
        <f>SUM(B42:G42)</f>
        <v>434154413</v>
      </c>
      <c r="J42" s="106"/>
    </row>
    <row r="43" spans="1:10" s="1" customFormat="1" ht="13.5" x14ac:dyDescent="0.25">
      <c r="A43" s="104"/>
      <c r="B43" s="326"/>
      <c r="C43" s="326"/>
    </row>
    <row r="44" spans="1:10" s="1" customFormat="1" ht="13.5" x14ac:dyDescent="0.25">
      <c r="A44" s="327" t="s">
        <v>356</v>
      </c>
      <c r="B44" s="326"/>
      <c r="C44" s="326"/>
    </row>
    <row r="45" spans="1:10" s="1" customFormat="1" ht="13.5" x14ac:dyDescent="0.25">
      <c r="A45" s="19" t="s">
        <v>206</v>
      </c>
      <c r="B45" s="19">
        <f t="shared" ref="B45:G45" si="6">B39</f>
        <v>2015</v>
      </c>
      <c r="C45" s="19">
        <f t="shared" si="6"/>
        <v>2016</v>
      </c>
      <c r="D45" s="19">
        <f t="shared" si="6"/>
        <v>2017</v>
      </c>
      <c r="E45" s="19">
        <f t="shared" si="6"/>
        <v>2018</v>
      </c>
      <c r="F45" s="19">
        <f t="shared" si="6"/>
        <v>2019</v>
      </c>
      <c r="G45" s="19">
        <f t="shared" si="6"/>
        <v>2020</v>
      </c>
      <c r="H45" s="19" t="s">
        <v>207</v>
      </c>
    </row>
    <row r="46" spans="1:10" s="1" customFormat="1" ht="13.5" x14ac:dyDescent="0.25">
      <c r="A46" s="21" t="s">
        <v>208</v>
      </c>
      <c r="B46" s="4">
        <f t="shared" ref="B46:H46" si="7">B48-B47</f>
        <v>0.59837398373983741</v>
      </c>
      <c r="C46" s="4">
        <f t="shared" si="7"/>
        <v>0.59042576752616649</v>
      </c>
      <c r="D46" s="4">
        <f t="shared" si="7"/>
        <v>0.57320618491617048</v>
      </c>
      <c r="E46" s="4">
        <f t="shared" si="7"/>
        <v>0.59752116426034019</v>
      </c>
      <c r="F46" s="4">
        <f t="shared" si="7"/>
        <v>0.59746021756010759</v>
      </c>
      <c r="G46" s="4">
        <f t="shared" si="7"/>
        <v>0.59661278910528148</v>
      </c>
      <c r="H46" s="4">
        <f t="shared" si="7"/>
        <v>0.58890118052687634</v>
      </c>
    </row>
    <row r="47" spans="1:10" s="1" customFormat="1" ht="13.5" x14ac:dyDescent="0.25">
      <c r="A47" s="21" t="s">
        <v>209</v>
      </c>
      <c r="B47" s="4">
        <f t="shared" ref="B47:H47" si="8">B51/B52</f>
        <v>0.40162601626016259</v>
      </c>
      <c r="C47" s="4">
        <f t="shared" si="8"/>
        <v>0.40957423247383351</v>
      </c>
      <c r="D47" s="4">
        <f t="shared" si="8"/>
        <v>0.42679381508382958</v>
      </c>
      <c r="E47" s="4">
        <f t="shared" si="8"/>
        <v>0.40247883573965976</v>
      </c>
      <c r="F47" s="4">
        <f t="shared" si="8"/>
        <v>0.40253978243989241</v>
      </c>
      <c r="G47" s="4">
        <f t="shared" si="8"/>
        <v>0.40338721089471852</v>
      </c>
      <c r="H47" s="4">
        <f t="shared" si="8"/>
        <v>0.41109881947312366</v>
      </c>
    </row>
    <row r="48" spans="1:10" s="1" customFormat="1" ht="13.5" x14ac:dyDescent="0.25">
      <c r="A48" s="324" t="s">
        <v>83</v>
      </c>
      <c r="B48" s="325">
        <v>1</v>
      </c>
      <c r="C48" s="325">
        <v>1</v>
      </c>
      <c r="D48" s="325">
        <v>1</v>
      </c>
      <c r="E48" s="325">
        <v>1</v>
      </c>
      <c r="F48" s="325">
        <v>1</v>
      </c>
      <c r="G48" s="325">
        <v>1</v>
      </c>
      <c r="H48" s="325">
        <v>1</v>
      </c>
    </row>
    <row r="49" spans="1:32" s="1" customFormat="1" ht="13.5" x14ac:dyDescent="0.25">
      <c r="A49" s="19" t="s">
        <v>210</v>
      </c>
      <c r="B49" s="19">
        <f t="shared" ref="B49:G49" si="9">B45</f>
        <v>2015</v>
      </c>
      <c r="C49" s="19">
        <f t="shared" si="9"/>
        <v>2016</v>
      </c>
      <c r="D49" s="19">
        <f t="shared" si="9"/>
        <v>2017</v>
      </c>
      <c r="E49" s="19">
        <f t="shared" si="9"/>
        <v>2018</v>
      </c>
      <c r="F49" s="19">
        <f t="shared" si="9"/>
        <v>2019</v>
      </c>
      <c r="G49" s="19">
        <f t="shared" si="9"/>
        <v>2020</v>
      </c>
      <c r="H49" s="19" t="s">
        <v>207</v>
      </c>
    </row>
    <row r="50" spans="1:32" s="1" customFormat="1" ht="13.5" x14ac:dyDescent="0.25">
      <c r="A50" s="21" t="s">
        <v>208</v>
      </c>
      <c r="B50" s="22">
        <f t="shared" ref="B50:H50" si="10">B52-B51</f>
        <v>9842896</v>
      </c>
      <c r="C50" s="22">
        <f t="shared" si="10"/>
        <v>50091976</v>
      </c>
      <c r="D50" s="22">
        <f t="shared" si="10"/>
        <v>90886432</v>
      </c>
      <c r="E50" s="22">
        <f t="shared" si="10"/>
        <v>64721094.719999991</v>
      </c>
      <c r="F50" s="22">
        <f t="shared" si="10"/>
        <v>60398139.109999999</v>
      </c>
      <c r="G50" s="22">
        <f t="shared" si="10"/>
        <v>31292110.150000002</v>
      </c>
      <c r="H50" s="23">
        <f t="shared" si="10"/>
        <v>307232647.98000002</v>
      </c>
    </row>
    <row r="51" spans="1:32" s="1" customFormat="1" ht="13.5" x14ac:dyDescent="0.25">
      <c r="A51" s="21" t="s">
        <v>209</v>
      </c>
      <c r="B51" s="22">
        <f t="shared" ref="B51:G51" si="11">B41</f>
        <v>6606509</v>
      </c>
      <c r="C51" s="22">
        <f t="shared" si="11"/>
        <v>34748454</v>
      </c>
      <c r="D51" s="22">
        <f t="shared" si="11"/>
        <v>67671578</v>
      </c>
      <c r="E51" s="22">
        <f t="shared" si="11"/>
        <v>43594892.380000003</v>
      </c>
      <c r="F51" s="22">
        <f t="shared" si="11"/>
        <v>40693343.359999999</v>
      </c>
      <c r="G51" s="22">
        <f t="shared" si="11"/>
        <v>21157503.27</v>
      </c>
      <c r="H51" s="23">
        <f>SUM(B51:G51)</f>
        <v>214472280.01000002</v>
      </c>
    </row>
    <row r="52" spans="1:32" s="1" customFormat="1" ht="13.5" x14ac:dyDescent="0.25">
      <c r="A52" s="21" t="s">
        <v>83</v>
      </c>
      <c r="B52" s="22">
        <f>'Założenia-dane wejściowe '!D215+'Założenia-dane wejściowe '!D277</f>
        <v>16449405</v>
      </c>
      <c r="C52" s="22">
        <f>'Założenia-dane wejściowe '!E215+'Założenia-dane wejściowe '!E277</f>
        <v>84840430</v>
      </c>
      <c r="D52" s="22">
        <f>'Założenia-dane wejściowe '!F215+'Założenia-dane wejściowe '!F277</f>
        <v>158558010</v>
      </c>
      <c r="E52" s="22">
        <f>'Założenia-dane wejściowe '!G215+'Założenia-dane wejściowe '!G277</f>
        <v>108315987.09999999</v>
      </c>
      <c r="F52" s="22">
        <f>'Założenia-dane wejściowe '!H215+'Założenia-dane wejściowe '!H277</f>
        <v>101091482.47</v>
      </c>
      <c r="G52" s="22">
        <f>'Założenia-dane wejściowe '!I215+'Założenia-dane wejściowe '!I277</f>
        <v>52449613.420000002</v>
      </c>
      <c r="H52" s="23">
        <f>SUM(B52:G52)</f>
        <v>521704927.99000007</v>
      </c>
    </row>
    <row r="53" spans="1:32" s="12" customFormat="1" x14ac:dyDescent="0.2">
      <c r="A53" s="94"/>
      <c r="B53" s="328"/>
      <c r="C53" s="328"/>
      <c r="D53" s="328"/>
      <c r="E53" s="329"/>
      <c r="F53" s="69"/>
    </row>
    <row r="54" spans="1:32" s="12" customFormat="1" ht="15.75" x14ac:dyDescent="0.2">
      <c r="A54" s="233" t="s">
        <v>422</v>
      </c>
      <c r="B54" s="251"/>
    </row>
    <row r="55" spans="1:32" s="1" customFormat="1" ht="13.5" x14ac:dyDescent="0.25">
      <c r="A55" s="466" t="s">
        <v>211</v>
      </c>
      <c r="B55" s="466"/>
      <c r="C55" s="466"/>
      <c r="D55" s="466"/>
      <c r="E55" s="466"/>
      <c r="F55" s="466"/>
      <c r="G55" s="466"/>
      <c r="H55" s="466"/>
      <c r="I55" s="466"/>
      <c r="J55" s="466"/>
    </row>
    <row r="56" spans="1:32" s="1" customFormat="1" ht="13.5" x14ac:dyDescent="0.25">
      <c r="A56" s="364"/>
      <c r="B56" s="17" t="s">
        <v>189</v>
      </c>
      <c r="C56" s="18">
        <f t="shared" ref="C56:AF56" si="12">C4</f>
        <v>2015</v>
      </c>
      <c r="D56" s="18">
        <f t="shared" si="12"/>
        <v>2016</v>
      </c>
      <c r="E56" s="18">
        <f t="shared" si="12"/>
        <v>2017</v>
      </c>
      <c r="F56" s="18">
        <f t="shared" si="12"/>
        <v>2018</v>
      </c>
      <c r="G56" s="18">
        <f t="shared" si="12"/>
        <v>2019</v>
      </c>
      <c r="H56" s="18">
        <f t="shared" si="12"/>
        <v>2020</v>
      </c>
      <c r="I56" s="18">
        <f t="shared" si="12"/>
        <v>2021</v>
      </c>
      <c r="J56" s="18">
        <f t="shared" si="12"/>
        <v>2022</v>
      </c>
      <c r="K56" s="18">
        <f t="shared" si="12"/>
        <v>2023</v>
      </c>
      <c r="L56" s="18">
        <f t="shared" si="12"/>
        <v>2024</v>
      </c>
      <c r="M56" s="18">
        <f t="shared" si="12"/>
        <v>2025</v>
      </c>
      <c r="N56" s="18">
        <f t="shared" si="12"/>
        <v>2026</v>
      </c>
      <c r="O56" s="18">
        <f t="shared" si="12"/>
        <v>2027</v>
      </c>
      <c r="P56" s="18">
        <f t="shared" si="12"/>
        <v>2028</v>
      </c>
      <c r="Q56" s="18">
        <f t="shared" si="12"/>
        <v>2029</v>
      </c>
      <c r="R56" s="18">
        <f t="shared" si="12"/>
        <v>2030</v>
      </c>
      <c r="S56" s="18">
        <f t="shared" si="12"/>
        <v>2031</v>
      </c>
      <c r="T56" s="18">
        <f t="shared" si="12"/>
        <v>2032</v>
      </c>
      <c r="U56" s="18">
        <f t="shared" si="12"/>
        <v>2033</v>
      </c>
      <c r="V56" s="18">
        <f t="shared" si="12"/>
        <v>2034</v>
      </c>
      <c r="W56" s="18">
        <f t="shared" si="12"/>
        <v>2035</v>
      </c>
      <c r="X56" s="18">
        <f t="shared" si="12"/>
        <v>2036</v>
      </c>
      <c r="Y56" s="18">
        <f t="shared" si="12"/>
        <v>2037</v>
      </c>
      <c r="Z56" s="18">
        <f t="shared" si="12"/>
        <v>2038</v>
      </c>
      <c r="AA56" s="18">
        <f t="shared" si="12"/>
        <v>2039</v>
      </c>
      <c r="AB56" s="18">
        <f t="shared" si="12"/>
        <v>2040</v>
      </c>
      <c r="AC56" s="18">
        <f t="shared" si="12"/>
        <v>2041</v>
      </c>
      <c r="AD56" s="18">
        <f t="shared" si="12"/>
        <v>2042</v>
      </c>
      <c r="AE56" s="18">
        <f t="shared" si="12"/>
        <v>2043</v>
      </c>
      <c r="AF56" s="18">
        <f t="shared" si="12"/>
        <v>2044</v>
      </c>
    </row>
    <row r="57" spans="1:32" s="91" customFormat="1" ht="13.5" x14ac:dyDescent="0.25">
      <c r="A57" s="125" t="s">
        <v>212</v>
      </c>
      <c r="B57" s="216">
        <f>C57+NPV($C$17,D57:AF57)</f>
        <v>395327530.41652244</v>
      </c>
      <c r="C57" s="216">
        <f t="shared" ref="C57:AB57" si="13">C58+C59</f>
        <v>0</v>
      </c>
      <c r="D57" s="216">
        <f t="shared" si="13"/>
        <v>2128996.1309273541</v>
      </c>
      <c r="E57" s="216">
        <f t="shared" si="13"/>
        <v>2128996.1309273541</v>
      </c>
      <c r="F57" s="216">
        <f t="shared" si="13"/>
        <v>2239450.0909731984</v>
      </c>
      <c r="G57" s="216">
        <f t="shared" si="13"/>
        <v>5111253.0521648526</v>
      </c>
      <c r="H57" s="216">
        <f t="shared" si="13"/>
        <v>8756233.7336773276</v>
      </c>
      <c r="I57" s="216">
        <f t="shared" si="13"/>
        <v>28607570.303235203</v>
      </c>
      <c r="J57" s="216">
        <f t="shared" si="13"/>
        <v>28607570.303235203</v>
      </c>
      <c r="K57" s="216">
        <f t="shared" si="13"/>
        <v>28607570.303235203</v>
      </c>
      <c r="L57" s="216">
        <f t="shared" si="13"/>
        <v>28607570.303235203</v>
      </c>
      <c r="M57" s="216">
        <f t="shared" si="13"/>
        <v>28607570.303235203</v>
      </c>
      <c r="N57" s="216">
        <f t="shared" si="13"/>
        <v>28607570.303235203</v>
      </c>
      <c r="O57" s="216">
        <f t="shared" si="13"/>
        <v>28607570.303235203</v>
      </c>
      <c r="P57" s="216">
        <f t="shared" si="13"/>
        <v>28607570.303235203</v>
      </c>
      <c r="Q57" s="216">
        <f t="shared" si="13"/>
        <v>28607570.303235203</v>
      </c>
      <c r="R57" s="216">
        <f t="shared" si="13"/>
        <v>28607570.303235203</v>
      </c>
      <c r="S57" s="216">
        <f t="shared" si="13"/>
        <v>29265221.318891227</v>
      </c>
      <c r="T57" s="216">
        <f t="shared" si="13"/>
        <v>29265221.318891227</v>
      </c>
      <c r="U57" s="216">
        <f t="shared" si="13"/>
        <v>29265221.318891227</v>
      </c>
      <c r="V57" s="216">
        <f t="shared" si="13"/>
        <v>29265221.318891227</v>
      </c>
      <c r="W57" s="216">
        <f t="shared" si="13"/>
        <v>28241540.706672698</v>
      </c>
      <c r="X57" s="216">
        <f t="shared" si="13"/>
        <v>26851830.497891665</v>
      </c>
      <c r="Y57" s="216">
        <f t="shared" si="13"/>
        <v>29411032.028437972</v>
      </c>
      <c r="Z57" s="216">
        <f t="shared" si="13"/>
        <v>29411032.028437972</v>
      </c>
      <c r="AA57" s="216">
        <f t="shared" si="13"/>
        <v>29411032.028437972</v>
      </c>
      <c r="AB57" s="216">
        <f t="shared" si="13"/>
        <v>29411032.028437972</v>
      </c>
      <c r="AC57" s="216">
        <f>AC58+AC59</f>
        <v>29803837.574529648</v>
      </c>
      <c r="AD57" s="216">
        <f>AD58+AD59</f>
        <v>29803837.574529648</v>
      </c>
      <c r="AE57" s="216">
        <f>AE58+AE59</f>
        <v>29803837.574529648</v>
      </c>
      <c r="AF57" s="216">
        <f>AF58+AF59</f>
        <v>303305323.06512254</v>
      </c>
    </row>
    <row r="58" spans="1:32" s="1" customFormat="1" ht="13.5" x14ac:dyDescent="0.25">
      <c r="A58" s="330" t="s">
        <v>100</v>
      </c>
      <c r="B58" s="219">
        <f>C58+NPV($C$17,D58:AF58)</f>
        <v>328881350.70430189</v>
      </c>
      <c r="C58" s="219">
        <f t="shared" ref="C58:AF58" si="14">C5</f>
        <v>0</v>
      </c>
      <c r="D58" s="219">
        <f t="shared" si="14"/>
        <v>2128996.1309273541</v>
      </c>
      <c r="E58" s="219">
        <f t="shared" si="14"/>
        <v>2128996.1309273541</v>
      </c>
      <c r="F58" s="219">
        <f t="shared" si="14"/>
        <v>2239450.0909731984</v>
      </c>
      <c r="G58" s="219">
        <f t="shared" si="14"/>
        <v>5111253.0521648526</v>
      </c>
      <c r="H58" s="219">
        <f t="shared" si="14"/>
        <v>8756233.7336773276</v>
      </c>
      <c r="I58" s="219">
        <f t="shared" si="14"/>
        <v>28607570.303235203</v>
      </c>
      <c r="J58" s="219">
        <f t="shared" si="14"/>
        <v>28607570.303235203</v>
      </c>
      <c r="K58" s="219">
        <f t="shared" si="14"/>
        <v>28607570.303235203</v>
      </c>
      <c r="L58" s="219">
        <f t="shared" si="14"/>
        <v>28607570.303235203</v>
      </c>
      <c r="M58" s="219">
        <f t="shared" si="14"/>
        <v>28607570.303235203</v>
      </c>
      <c r="N58" s="219">
        <f t="shared" si="14"/>
        <v>28607570.303235203</v>
      </c>
      <c r="O58" s="219">
        <f t="shared" si="14"/>
        <v>28607570.303235203</v>
      </c>
      <c r="P58" s="219">
        <f t="shared" si="14"/>
        <v>28607570.303235203</v>
      </c>
      <c r="Q58" s="219">
        <f t="shared" si="14"/>
        <v>28607570.303235203</v>
      </c>
      <c r="R58" s="219">
        <f t="shared" si="14"/>
        <v>28607570.303235203</v>
      </c>
      <c r="S58" s="219">
        <f t="shared" si="14"/>
        <v>29265221.318891227</v>
      </c>
      <c r="T58" s="219">
        <f t="shared" si="14"/>
        <v>29265221.318891227</v>
      </c>
      <c r="U58" s="219">
        <f t="shared" si="14"/>
        <v>29265221.318891227</v>
      </c>
      <c r="V58" s="219">
        <f t="shared" si="14"/>
        <v>29265221.318891227</v>
      </c>
      <c r="W58" s="219">
        <f t="shared" si="14"/>
        <v>28241540.706672698</v>
      </c>
      <c r="X58" s="219">
        <f t="shared" si="14"/>
        <v>26851830.497891665</v>
      </c>
      <c r="Y58" s="219">
        <f t="shared" si="14"/>
        <v>29411032.028437972</v>
      </c>
      <c r="Z58" s="219">
        <f t="shared" si="14"/>
        <v>29411032.028437972</v>
      </c>
      <c r="AA58" s="219">
        <f t="shared" si="14"/>
        <v>29411032.028437972</v>
      </c>
      <c r="AB58" s="219">
        <f t="shared" si="14"/>
        <v>29411032.028437972</v>
      </c>
      <c r="AC58" s="219">
        <f t="shared" si="14"/>
        <v>29803837.574529648</v>
      </c>
      <c r="AD58" s="219">
        <f t="shared" si="14"/>
        <v>29803837.574529648</v>
      </c>
      <c r="AE58" s="219">
        <f t="shared" si="14"/>
        <v>29803837.574529648</v>
      </c>
      <c r="AF58" s="219">
        <f t="shared" si="14"/>
        <v>29803837.574529648</v>
      </c>
    </row>
    <row r="59" spans="1:32" s="1" customFormat="1" ht="13.5" x14ac:dyDescent="0.25">
      <c r="A59" s="330" t="s">
        <v>71</v>
      </c>
      <c r="B59" s="219">
        <f>C59+NPV(C17,D59:AF59)</f>
        <v>66446179.712220542</v>
      </c>
      <c r="C59" s="219">
        <f t="shared" ref="C59:AF59" si="15">C10</f>
        <v>0</v>
      </c>
      <c r="D59" s="219">
        <f t="shared" si="15"/>
        <v>0</v>
      </c>
      <c r="E59" s="219">
        <f t="shared" si="15"/>
        <v>0</v>
      </c>
      <c r="F59" s="219">
        <f t="shared" si="15"/>
        <v>0</v>
      </c>
      <c r="G59" s="219">
        <f t="shared" si="15"/>
        <v>0</v>
      </c>
      <c r="H59" s="219">
        <f t="shared" si="15"/>
        <v>0</v>
      </c>
      <c r="I59" s="219">
        <f t="shared" si="15"/>
        <v>0</v>
      </c>
      <c r="J59" s="219">
        <f t="shared" si="15"/>
        <v>0</v>
      </c>
      <c r="K59" s="219">
        <f t="shared" si="15"/>
        <v>0</v>
      </c>
      <c r="L59" s="219">
        <f t="shared" si="15"/>
        <v>0</v>
      </c>
      <c r="M59" s="219">
        <f t="shared" si="15"/>
        <v>0</v>
      </c>
      <c r="N59" s="219">
        <f t="shared" si="15"/>
        <v>0</v>
      </c>
      <c r="O59" s="219">
        <f t="shared" si="15"/>
        <v>0</v>
      </c>
      <c r="P59" s="219">
        <f t="shared" si="15"/>
        <v>0</v>
      </c>
      <c r="Q59" s="219">
        <f t="shared" si="15"/>
        <v>0</v>
      </c>
      <c r="R59" s="219">
        <f t="shared" si="15"/>
        <v>0</v>
      </c>
      <c r="S59" s="219">
        <f t="shared" si="15"/>
        <v>0</v>
      </c>
      <c r="T59" s="219">
        <f t="shared" si="15"/>
        <v>0</v>
      </c>
      <c r="U59" s="219">
        <f t="shared" si="15"/>
        <v>0</v>
      </c>
      <c r="V59" s="219">
        <f t="shared" si="15"/>
        <v>0</v>
      </c>
      <c r="W59" s="219">
        <f t="shared" si="15"/>
        <v>0</v>
      </c>
      <c r="X59" s="219">
        <f t="shared" si="15"/>
        <v>0</v>
      </c>
      <c r="Y59" s="219">
        <f t="shared" si="15"/>
        <v>0</v>
      </c>
      <c r="Z59" s="219">
        <f t="shared" si="15"/>
        <v>0</v>
      </c>
      <c r="AA59" s="219">
        <f t="shared" si="15"/>
        <v>0</v>
      </c>
      <c r="AB59" s="219">
        <f t="shared" si="15"/>
        <v>0</v>
      </c>
      <c r="AC59" s="219">
        <f t="shared" si="15"/>
        <v>0</v>
      </c>
      <c r="AD59" s="219">
        <f t="shared" si="15"/>
        <v>0</v>
      </c>
      <c r="AE59" s="219">
        <f t="shared" si="15"/>
        <v>0</v>
      </c>
      <c r="AF59" s="219">
        <f t="shared" si="15"/>
        <v>273501485.4905929</v>
      </c>
    </row>
    <row r="60" spans="1:32" s="91" customFormat="1" ht="13.5" x14ac:dyDescent="0.25">
      <c r="A60" s="125" t="s">
        <v>213</v>
      </c>
      <c r="B60" s="216">
        <f>C60+NPV($C$17,D60:AF60)</f>
        <v>684800825.67572033</v>
      </c>
      <c r="C60" s="216">
        <f t="shared" ref="C60:AB60" si="16">C61+C62</f>
        <v>16449405</v>
      </c>
      <c r="D60" s="216">
        <f>D61+D62</f>
        <v>86982430</v>
      </c>
      <c r="E60" s="216">
        <f t="shared" si="16"/>
        <v>160706566</v>
      </c>
      <c r="F60" s="216">
        <f t="shared" si="16"/>
        <v>110579063.09999999</v>
      </c>
      <c r="G60" s="216">
        <f t="shared" si="16"/>
        <v>103354558.47</v>
      </c>
      <c r="H60" s="216">
        <f t="shared" si="16"/>
        <v>58313531.420000002</v>
      </c>
      <c r="I60" s="216">
        <f t="shared" si="16"/>
        <v>16128763.300000001</v>
      </c>
      <c r="J60" s="216">
        <f t="shared" si="16"/>
        <v>16128763.300000001</v>
      </c>
      <c r="K60" s="216">
        <f t="shared" si="16"/>
        <v>16128763.300000001</v>
      </c>
      <c r="L60" s="216">
        <f t="shared" si="16"/>
        <v>16128763.300000001</v>
      </c>
      <c r="M60" s="216">
        <f t="shared" si="16"/>
        <v>16128763.300000001</v>
      </c>
      <c r="N60" s="216">
        <f t="shared" si="16"/>
        <v>16128763.300000001</v>
      </c>
      <c r="O60" s="216">
        <f t="shared" si="16"/>
        <v>16128763.300000001</v>
      </c>
      <c r="P60" s="216">
        <f t="shared" si="16"/>
        <v>16128763.300000001</v>
      </c>
      <c r="Q60" s="216">
        <f t="shared" si="16"/>
        <v>16128763.300000001</v>
      </c>
      <c r="R60" s="216">
        <f t="shared" si="16"/>
        <v>36983233.950000003</v>
      </c>
      <c r="S60" s="216">
        <f t="shared" si="16"/>
        <v>16128763.299999999</v>
      </c>
      <c r="T60" s="216">
        <f t="shared" si="16"/>
        <v>16128763.299999999</v>
      </c>
      <c r="U60" s="216">
        <f t="shared" si="16"/>
        <v>16128763.299999999</v>
      </c>
      <c r="V60" s="216">
        <f t="shared" si="16"/>
        <v>16128763.299999999</v>
      </c>
      <c r="W60" s="216">
        <f t="shared" si="16"/>
        <v>36983233.950000003</v>
      </c>
      <c r="X60" s="216">
        <f t="shared" si="16"/>
        <v>58128763.299999997</v>
      </c>
      <c r="Y60" s="216">
        <f t="shared" si="16"/>
        <v>16128763.300000001</v>
      </c>
      <c r="Z60" s="216">
        <f t="shared" si="16"/>
        <v>16128763.300000001</v>
      </c>
      <c r="AA60" s="216">
        <f t="shared" si="16"/>
        <v>16128763.300000001</v>
      </c>
      <c r="AB60" s="216">
        <f t="shared" si="16"/>
        <v>36983233.950000003</v>
      </c>
      <c r="AC60" s="216">
        <f>AC61+AC62</f>
        <v>16128763.300000001</v>
      </c>
      <c r="AD60" s="216">
        <f>AD61+AD62</f>
        <v>16128763.300000001</v>
      </c>
      <c r="AE60" s="216">
        <f>AE61+AE62</f>
        <v>16128763.300000001</v>
      </c>
      <c r="AF60" s="216">
        <f>AF61+AF62</f>
        <v>16128763.300000001</v>
      </c>
    </row>
    <row r="61" spans="1:32" s="1" customFormat="1" ht="13.5" x14ac:dyDescent="0.25">
      <c r="A61" s="331" t="s">
        <v>214</v>
      </c>
      <c r="B61" s="219">
        <f>C61+NPV($C$17,D61:AF61)</f>
        <v>186777792.59974998</v>
      </c>
      <c r="C61" s="219">
        <f t="shared" ref="C61:AF61" si="17">C6</f>
        <v>0</v>
      </c>
      <c r="D61" s="219">
        <f t="shared" si="17"/>
        <v>2142000</v>
      </c>
      <c r="E61" s="219">
        <f t="shared" si="17"/>
        <v>2148556</v>
      </c>
      <c r="F61" s="219">
        <f t="shared" si="17"/>
        <v>2263076</v>
      </c>
      <c r="G61" s="219">
        <f t="shared" si="17"/>
        <v>2263076</v>
      </c>
      <c r="H61" s="219">
        <f t="shared" si="17"/>
        <v>5863918</v>
      </c>
      <c r="I61" s="219">
        <f t="shared" si="17"/>
        <v>16128763.300000001</v>
      </c>
      <c r="J61" s="219">
        <f t="shared" si="17"/>
        <v>16128763.300000001</v>
      </c>
      <c r="K61" s="219">
        <f t="shared" si="17"/>
        <v>16128763.300000001</v>
      </c>
      <c r="L61" s="219">
        <f t="shared" si="17"/>
        <v>16128763.300000001</v>
      </c>
      <c r="M61" s="219">
        <f t="shared" si="17"/>
        <v>16128763.300000001</v>
      </c>
      <c r="N61" s="219">
        <f t="shared" si="17"/>
        <v>16128763.300000001</v>
      </c>
      <c r="O61" s="219">
        <f t="shared" si="17"/>
        <v>16128763.300000001</v>
      </c>
      <c r="P61" s="219">
        <f t="shared" si="17"/>
        <v>16128763.300000001</v>
      </c>
      <c r="Q61" s="219">
        <f t="shared" si="17"/>
        <v>16128763.300000001</v>
      </c>
      <c r="R61" s="219">
        <f t="shared" si="17"/>
        <v>16128763.300000001</v>
      </c>
      <c r="S61" s="219">
        <f t="shared" si="17"/>
        <v>16128763.299999999</v>
      </c>
      <c r="T61" s="219">
        <f t="shared" si="17"/>
        <v>16128763.299999999</v>
      </c>
      <c r="U61" s="219">
        <f t="shared" si="17"/>
        <v>16128763.299999999</v>
      </c>
      <c r="V61" s="219">
        <f t="shared" si="17"/>
        <v>16128763.299999999</v>
      </c>
      <c r="W61" s="219">
        <f t="shared" si="17"/>
        <v>16128763.300000003</v>
      </c>
      <c r="X61" s="219">
        <f t="shared" si="17"/>
        <v>16128763.300000001</v>
      </c>
      <c r="Y61" s="219">
        <f t="shared" si="17"/>
        <v>16128763.300000001</v>
      </c>
      <c r="Z61" s="219">
        <f t="shared" si="17"/>
        <v>16128763.300000001</v>
      </c>
      <c r="AA61" s="219">
        <f t="shared" si="17"/>
        <v>16128763.300000001</v>
      </c>
      <c r="AB61" s="219">
        <f t="shared" si="17"/>
        <v>16128763.300000001</v>
      </c>
      <c r="AC61" s="219">
        <f t="shared" si="17"/>
        <v>16128763.300000001</v>
      </c>
      <c r="AD61" s="219">
        <f t="shared" si="17"/>
        <v>16128763.300000001</v>
      </c>
      <c r="AE61" s="219">
        <f t="shared" si="17"/>
        <v>16128763.300000001</v>
      </c>
      <c r="AF61" s="219">
        <f t="shared" si="17"/>
        <v>16128763.300000001</v>
      </c>
    </row>
    <row r="62" spans="1:32" s="1" customFormat="1" ht="13.5" x14ac:dyDescent="0.25">
      <c r="A62" s="331" t="s">
        <v>215</v>
      </c>
      <c r="B62" s="219">
        <f>C62+NPV($C$17,D62:AF62)</f>
        <v>498023033.07597005</v>
      </c>
      <c r="C62" s="219">
        <f t="shared" ref="C62:AF62" si="18">C12</f>
        <v>16449405</v>
      </c>
      <c r="D62" s="219">
        <f t="shared" si="18"/>
        <v>84840430</v>
      </c>
      <c r="E62" s="219">
        <f t="shared" si="18"/>
        <v>158558010</v>
      </c>
      <c r="F62" s="219">
        <f t="shared" si="18"/>
        <v>108315987.09999999</v>
      </c>
      <c r="G62" s="219">
        <f t="shared" si="18"/>
        <v>101091482.47</v>
      </c>
      <c r="H62" s="219">
        <f t="shared" si="18"/>
        <v>52449613.420000002</v>
      </c>
      <c r="I62" s="219">
        <f t="shared" si="18"/>
        <v>0</v>
      </c>
      <c r="J62" s="219">
        <f t="shared" si="18"/>
        <v>0</v>
      </c>
      <c r="K62" s="219">
        <f t="shared" si="18"/>
        <v>0</v>
      </c>
      <c r="L62" s="219">
        <f t="shared" si="18"/>
        <v>0</v>
      </c>
      <c r="M62" s="219">
        <f t="shared" si="18"/>
        <v>0</v>
      </c>
      <c r="N62" s="219">
        <f t="shared" si="18"/>
        <v>0</v>
      </c>
      <c r="O62" s="219">
        <f t="shared" si="18"/>
        <v>0</v>
      </c>
      <c r="P62" s="219">
        <f t="shared" si="18"/>
        <v>0</v>
      </c>
      <c r="Q62" s="219">
        <f t="shared" si="18"/>
        <v>0</v>
      </c>
      <c r="R62" s="219">
        <f t="shared" si="18"/>
        <v>20854470.649999999</v>
      </c>
      <c r="S62" s="219">
        <f t="shared" si="18"/>
        <v>0</v>
      </c>
      <c r="T62" s="219">
        <f t="shared" si="18"/>
        <v>0</v>
      </c>
      <c r="U62" s="219">
        <f t="shared" si="18"/>
        <v>0</v>
      </c>
      <c r="V62" s="219">
        <f t="shared" si="18"/>
        <v>0</v>
      </c>
      <c r="W62" s="219">
        <f t="shared" si="18"/>
        <v>20854470.649999999</v>
      </c>
      <c r="X62" s="219">
        <f t="shared" si="18"/>
        <v>42000000</v>
      </c>
      <c r="Y62" s="219">
        <f t="shared" si="18"/>
        <v>0</v>
      </c>
      <c r="Z62" s="219">
        <f t="shared" si="18"/>
        <v>0</v>
      </c>
      <c r="AA62" s="219">
        <f t="shared" si="18"/>
        <v>0</v>
      </c>
      <c r="AB62" s="219">
        <f t="shared" si="18"/>
        <v>20854470.649999999</v>
      </c>
      <c r="AC62" s="219">
        <f t="shared" si="18"/>
        <v>0</v>
      </c>
      <c r="AD62" s="219">
        <f t="shared" si="18"/>
        <v>0</v>
      </c>
      <c r="AE62" s="219">
        <f t="shared" si="18"/>
        <v>0</v>
      </c>
      <c r="AF62" s="219">
        <f t="shared" si="18"/>
        <v>0</v>
      </c>
    </row>
    <row r="63" spans="1:32" s="91" customFormat="1" ht="13.5" x14ac:dyDescent="0.25">
      <c r="A63" s="125" t="s">
        <v>216</v>
      </c>
      <c r="B63" s="216">
        <f>C63+NPV($C$17,D63:AF63)</f>
        <v>-289473295.25919765</v>
      </c>
      <c r="C63" s="216">
        <f t="shared" ref="C63:AB63" si="19">C57-C60</f>
        <v>-16449405</v>
      </c>
      <c r="D63" s="216">
        <f t="shared" si="19"/>
        <v>-84853433.869072646</v>
      </c>
      <c r="E63" s="216">
        <f t="shared" si="19"/>
        <v>-158577569.86907265</v>
      </c>
      <c r="F63" s="216">
        <f t="shared" si="19"/>
        <v>-108339613.0090268</v>
      </c>
      <c r="G63" s="216">
        <f t="shared" si="19"/>
        <v>-98243305.417835146</v>
      </c>
      <c r="H63" s="216">
        <f t="shared" si="19"/>
        <v>-49557297.686322674</v>
      </c>
      <c r="I63" s="216">
        <f t="shared" si="19"/>
        <v>12478807.003235202</v>
      </c>
      <c r="J63" s="216">
        <f t="shared" si="19"/>
        <v>12478807.003235202</v>
      </c>
      <c r="K63" s="216">
        <f t="shared" si="19"/>
        <v>12478807.003235202</v>
      </c>
      <c r="L63" s="216">
        <f t="shared" si="19"/>
        <v>12478807.003235202</v>
      </c>
      <c r="M63" s="216">
        <f t="shared" si="19"/>
        <v>12478807.003235202</v>
      </c>
      <c r="N63" s="216">
        <f t="shared" si="19"/>
        <v>12478807.003235202</v>
      </c>
      <c r="O63" s="216">
        <f t="shared" si="19"/>
        <v>12478807.003235202</v>
      </c>
      <c r="P63" s="216">
        <f t="shared" si="19"/>
        <v>12478807.003235202</v>
      </c>
      <c r="Q63" s="216">
        <f t="shared" si="19"/>
        <v>12478807.003235202</v>
      </c>
      <c r="R63" s="216">
        <f t="shared" si="19"/>
        <v>-8375663.6467648</v>
      </c>
      <c r="S63" s="216">
        <f t="shared" si="19"/>
        <v>13136458.018891228</v>
      </c>
      <c r="T63" s="216">
        <f t="shared" si="19"/>
        <v>13136458.018891228</v>
      </c>
      <c r="U63" s="216">
        <f t="shared" si="19"/>
        <v>13136458.018891228</v>
      </c>
      <c r="V63" s="216">
        <f t="shared" si="19"/>
        <v>13136458.018891228</v>
      </c>
      <c r="W63" s="216">
        <f t="shared" si="19"/>
        <v>-8741693.2433273047</v>
      </c>
      <c r="X63" s="216">
        <f t="shared" si="19"/>
        <v>-31276932.802108333</v>
      </c>
      <c r="Y63" s="216">
        <f t="shared" si="19"/>
        <v>13282268.728437971</v>
      </c>
      <c r="Z63" s="216">
        <f t="shared" si="19"/>
        <v>13282268.728437971</v>
      </c>
      <c r="AA63" s="216">
        <f t="shared" si="19"/>
        <v>13282268.728437971</v>
      </c>
      <c r="AB63" s="216">
        <f t="shared" si="19"/>
        <v>-7572201.9215620309</v>
      </c>
      <c r="AC63" s="216">
        <f>AC57-AC60</f>
        <v>13675074.274529647</v>
      </c>
      <c r="AD63" s="216">
        <f>AD57-AD60</f>
        <v>13675074.274529647</v>
      </c>
      <c r="AE63" s="216">
        <f>AE57-AE60</f>
        <v>13675074.274529647</v>
      </c>
      <c r="AF63" s="216">
        <f>AF57-AF60</f>
        <v>287176559.76512253</v>
      </c>
    </row>
    <row r="64" spans="1:32" s="1" customFormat="1" ht="13.5" x14ac:dyDescent="0.25">
      <c r="A64" s="17" t="s">
        <v>217</v>
      </c>
      <c r="B64" s="365">
        <f>C17</f>
        <v>0.05</v>
      </c>
      <c r="D64" s="332"/>
    </row>
    <row r="65" spans="1:32" s="1" customFormat="1" ht="27" x14ac:dyDescent="0.25">
      <c r="A65" s="333" t="s">
        <v>218</v>
      </c>
      <c r="B65" s="334">
        <f>IRR($C63:$AF63,$C65)</f>
        <v>-3.7341554639277463E-3</v>
      </c>
      <c r="C65" s="335"/>
    </row>
    <row r="66" spans="1:32" s="1" customFormat="1" ht="27" x14ac:dyDescent="0.25">
      <c r="A66" s="288" t="s">
        <v>219</v>
      </c>
      <c r="B66" s="304">
        <f>C63+NPV($C$17,D63:AF63)</f>
        <v>-289473295.25919765</v>
      </c>
      <c r="D66" s="332"/>
    </row>
    <row r="67" spans="1:32" s="1" customFormat="1" ht="27" x14ac:dyDescent="0.25">
      <c r="A67" s="288" t="s">
        <v>218</v>
      </c>
      <c r="B67" s="336" t="s">
        <v>220</v>
      </c>
    </row>
    <row r="68" spans="1:32" s="1" customFormat="1" ht="13.5" x14ac:dyDescent="0.25">
      <c r="A68" s="337"/>
      <c r="B68" s="337"/>
      <c r="C68" s="338"/>
    </row>
    <row r="69" spans="1:32" s="1" customFormat="1" ht="13.5" x14ac:dyDescent="0.25">
      <c r="A69" s="466" t="s">
        <v>221</v>
      </c>
      <c r="B69" s="466"/>
      <c r="C69" s="466"/>
      <c r="D69" s="466"/>
      <c r="E69" s="466"/>
      <c r="F69" s="466"/>
      <c r="G69" s="466"/>
      <c r="H69" s="466"/>
      <c r="I69" s="466"/>
      <c r="J69" s="466"/>
    </row>
    <row r="70" spans="1:32" s="1" customFormat="1" ht="13.5" x14ac:dyDescent="0.25">
      <c r="A70" s="364"/>
      <c r="B70" s="17" t="s">
        <v>189</v>
      </c>
      <c r="C70" s="18">
        <f>C56</f>
        <v>2015</v>
      </c>
      <c r="D70" s="18">
        <f t="shared" ref="D70:AF70" si="20">D56</f>
        <v>2016</v>
      </c>
      <c r="E70" s="18">
        <f t="shared" si="20"/>
        <v>2017</v>
      </c>
      <c r="F70" s="18">
        <f t="shared" si="20"/>
        <v>2018</v>
      </c>
      <c r="G70" s="18">
        <f t="shared" si="20"/>
        <v>2019</v>
      </c>
      <c r="H70" s="18">
        <f t="shared" si="20"/>
        <v>2020</v>
      </c>
      <c r="I70" s="18">
        <f t="shared" si="20"/>
        <v>2021</v>
      </c>
      <c r="J70" s="18">
        <f t="shared" si="20"/>
        <v>2022</v>
      </c>
      <c r="K70" s="18">
        <f t="shared" si="20"/>
        <v>2023</v>
      </c>
      <c r="L70" s="18">
        <f t="shared" si="20"/>
        <v>2024</v>
      </c>
      <c r="M70" s="18">
        <f t="shared" si="20"/>
        <v>2025</v>
      </c>
      <c r="N70" s="18">
        <f t="shared" si="20"/>
        <v>2026</v>
      </c>
      <c r="O70" s="18">
        <f t="shared" si="20"/>
        <v>2027</v>
      </c>
      <c r="P70" s="18">
        <f t="shared" si="20"/>
        <v>2028</v>
      </c>
      <c r="Q70" s="18">
        <f t="shared" si="20"/>
        <v>2029</v>
      </c>
      <c r="R70" s="18">
        <f t="shared" si="20"/>
        <v>2030</v>
      </c>
      <c r="S70" s="18">
        <f t="shared" si="20"/>
        <v>2031</v>
      </c>
      <c r="T70" s="18">
        <f t="shared" si="20"/>
        <v>2032</v>
      </c>
      <c r="U70" s="18">
        <f t="shared" si="20"/>
        <v>2033</v>
      </c>
      <c r="V70" s="18">
        <f t="shared" si="20"/>
        <v>2034</v>
      </c>
      <c r="W70" s="18">
        <f t="shared" si="20"/>
        <v>2035</v>
      </c>
      <c r="X70" s="18">
        <f t="shared" si="20"/>
        <v>2036</v>
      </c>
      <c r="Y70" s="18">
        <f t="shared" si="20"/>
        <v>2037</v>
      </c>
      <c r="Z70" s="18">
        <f t="shared" si="20"/>
        <v>2038</v>
      </c>
      <c r="AA70" s="18">
        <f t="shared" si="20"/>
        <v>2039</v>
      </c>
      <c r="AB70" s="18">
        <f t="shared" si="20"/>
        <v>2040</v>
      </c>
      <c r="AC70" s="18">
        <f t="shared" si="20"/>
        <v>2041</v>
      </c>
      <c r="AD70" s="18">
        <f t="shared" si="20"/>
        <v>2042</v>
      </c>
      <c r="AE70" s="18">
        <f t="shared" si="20"/>
        <v>2043</v>
      </c>
      <c r="AF70" s="18">
        <f t="shared" si="20"/>
        <v>2044</v>
      </c>
    </row>
    <row r="71" spans="1:32" s="91" customFormat="1" ht="13.5" x14ac:dyDescent="0.25">
      <c r="A71" s="125" t="s">
        <v>212</v>
      </c>
      <c r="B71" s="216">
        <f t="shared" ref="B71:B78" si="21">C71+NPV($C$17,D71:AF71)</f>
        <v>435027805.13080806</v>
      </c>
      <c r="C71" s="15">
        <f>C72+C73+C74</f>
        <v>6606509</v>
      </c>
      <c r="D71" s="15">
        <f t="shared" ref="D71:AB71" si="22">D72+D73+D74</f>
        <v>36877450.130927354</v>
      </c>
      <c r="E71" s="15">
        <f t="shared" si="22"/>
        <v>2128996.1309273541</v>
      </c>
      <c r="F71" s="15">
        <f t="shared" si="22"/>
        <v>2239450.0909731984</v>
      </c>
      <c r="G71" s="15">
        <f t="shared" si="22"/>
        <v>5111253.0521648526</v>
      </c>
      <c r="H71" s="15">
        <f t="shared" si="22"/>
        <v>8756233.7336773276</v>
      </c>
      <c r="I71" s="15">
        <f t="shared" si="22"/>
        <v>28607570.303235203</v>
      </c>
      <c r="J71" s="15">
        <f t="shared" si="22"/>
        <v>28607570.303235203</v>
      </c>
      <c r="K71" s="15">
        <f t="shared" si="22"/>
        <v>28607570.303235203</v>
      </c>
      <c r="L71" s="15">
        <f t="shared" si="22"/>
        <v>28607570.303235203</v>
      </c>
      <c r="M71" s="15">
        <f t="shared" si="22"/>
        <v>28607570.303235203</v>
      </c>
      <c r="N71" s="15">
        <f t="shared" si="22"/>
        <v>28607570.303235203</v>
      </c>
      <c r="O71" s="15">
        <f t="shared" si="22"/>
        <v>28607570.303235203</v>
      </c>
      <c r="P71" s="15">
        <f t="shared" si="22"/>
        <v>28607570.303235203</v>
      </c>
      <c r="Q71" s="15">
        <f t="shared" si="22"/>
        <v>28607570.303235203</v>
      </c>
      <c r="R71" s="15">
        <f t="shared" si="22"/>
        <v>28607570.303235203</v>
      </c>
      <c r="S71" s="15">
        <f t="shared" si="22"/>
        <v>29265221.318891227</v>
      </c>
      <c r="T71" s="15">
        <f t="shared" si="22"/>
        <v>29265221.318891227</v>
      </c>
      <c r="U71" s="15">
        <f t="shared" si="22"/>
        <v>29265221.318891227</v>
      </c>
      <c r="V71" s="15">
        <f t="shared" si="22"/>
        <v>29265221.318891227</v>
      </c>
      <c r="W71" s="15">
        <f t="shared" si="22"/>
        <v>28241540.706672698</v>
      </c>
      <c r="X71" s="15">
        <f t="shared" si="22"/>
        <v>26851830.497891665</v>
      </c>
      <c r="Y71" s="15">
        <f t="shared" si="22"/>
        <v>29411032.028437972</v>
      </c>
      <c r="Z71" s="15">
        <f t="shared" si="22"/>
        <v>29411032.028437972</v>
      </c>
      <c r="AA71" s="15">
        <f t="shared" si="22"/>
        <v>29411032.028437972</v>
      </c>
      <c r="AB71" s="15">
        <f t="shared" si="22"/>
        <v>29411032.028437972</v>
      </c>
      <c r="AC71" s="15">
        <f>AC72+AC73+AC74</f>
        <v>29803837.574529648</v>
      </c>
      <c r="AD71" s="15">
        <f>AD72+AD73+AD74</f>
        <v>29803837.574529648</v>
      </c>
      <c r="AE71" s="15">
        <f>AE72+AE73+AE74</f>
        <v>29803837.574529648</v>
      </c>
      <c r="AF71" s="15">
        <f>AF72+AF73+AF74</f>
        <v>303305323.06512254</v>
      </c>
    </row>
    <row r="72" spans="1:32" s="1" customFormat="1" ht="13.5" x14ac:dyDescent="0.25">
      <c r="A72" s="330" t="str">
        <f>A58</f>
        <v xml:space="preserve">Przychody ze sprzedaży </v>
      </c>
      <c r="B72" s="219">
        <f t="shared" si="21"/>
        <v>328881350.70430189</v>
      </c>
      <c r="C72" s="14">
        <f>C58*'Wyniki-Analiza wrażliwości'!$C$6</f>
        <v>0</v>
      </c>
      <c r="D72" s="14">
        <f>D58*'Wyniki-Analiza wrażliwości'!$C$6</f>
        <v>2128996.1309273541</v>
      </c>
      <c r="E72" s="14">
        <f>E58*'Wyniki-Analiza wrażliwości'!$C$6</f>
        <v>2128996.1309273541</v>
      </c>
      <c r="F72" s="14">
        <f>F58*'Wyniki-Analiza wrażliwości'!$C$6</f>
        <v>2239450.0909731984</v>
      </c>
      <c r="G72" s="14">
        <f>G58*'Wyniki-Analiza wrażliwości'!$C$6</f>
        <v>5111253.0521648526</v>
      </c>
      <c r="H72" s="14">
        <f>H58*'Wyniki-Analiza wrażliwości'!$C$6</f>
        <v>8756233.7336773276</v>
      </c>
      <c r="I72" s="14">
        <f>I58*'Wyniki-Analiza wrażliwości'!$C$6</f>
        <v>28607570.303235203</v>
      </c>
      <c r="J72" s="14">
        <f>J58*'Wyniki-Analiza wrażliwości'!$C$6</f>
        <v>28607570.303235203</v>
      </c>
      <c r="K72" s="14">
        <f>K58*'Wyniki-Analiza wrażliwości'!$C$6</f>
        <v>28607570.303235203</v>
      </c>
      <c r="L72" s="14">
        <f>L58*'Wyniki-Analiza wrażliwości'!$C$6</f>
        <v>28607570.303235203</v>
      </c>
      <c r="M72" s="14">
        <f>M58*'Wyniki-Analiza wrażliwości'!$C$6</f>
        <v>28607570.303235203</v>
      </c>
      <c r="N72" s="14">
        <f>N58*'Wyniki-Analiza wrażliwości'!$C$6</f>
        <v>28607570.303235203</v>
      </c>
      <c r="O72" s="14">
        <f>O58*'Wyniki-Analiza wrażliwości'!$C$6</f>
        <v>28607570.303235203</v>
      </c>
      <c r="P72" s="14">
        <f>P58*'Wyniki-Analiza wrażliwości'!$C$6</f>
        <v>28607570.303235203</v>
      </c>
      <c r="Q72" s="14">
        <f>Q58*'Wyniki-Analiza wrażliwości'!$C$6</f>
        <v>28607570.303235203</v>
      </c>
      <c r="R72" s="14">
        <f>R58*'Wyniki-Analiza wrażliwości'!$C$6</f>
        <v>28607570.303235203</v>
      </c>
      <c r="S72" s="14">
        <f>S58*'Wyniki-Analiza wrażliwości'!$C$6</f>
        <v>29265221.318891227</v>
      </c>
      <c r="T72" s="14">
        <f>T58*'Wyniki-Analiza wrażliwości'!$C$6</f>
        <v>29265221.318891227</v>
      </c>
      <c r="U72" s="14">
        <f>U58*'Wyniki-Analiza wrażliwości'!$C$6</f>
        <v>29265221.318891227</v>
      </c>
      <c r="V72" s="14">
        <f>V58*'Wyniki-Analiza wrażliwości'!$C$6</f>
        <v>29265221.318891227</v>
      </c>
      <c r="W72" s="14">
        <f>W58*'Wyniki-Analiza wrażliwości'!$C$6</f>
        <v>28241540.706672698</v>
      </c>
      <c r="X72" s="14">
        <f>X58*'Wyniki-Analiza wrażliwości'!$C$6</f>
        <v>26851830.497891665</v>
      </c>
      <c r="Y72" s="14">
        <f>Y58*'Wyniki-Analiza wrażliwości'!$C$6</f>
        <v>29411032.028437972</v>
      </c>
      <c r="Z72" s="14">
        <f>Z58*'Wyniki-Analiza wrażliwości'!$C$6</f>
        <v>29411032.028437972</v>
      </c>
      <c r="AA72" s="14">
        <f>AA58*'Wyniki-Analiza wrażliwości'!$C$6</f>
        <v>29411032.028437972</v>
      </c>
      <c r="AB72" s="14">
        <f>AB58*'Wyniki-Analiza wrażliwości'!$C$6</f>
        <v>29411032.028437972</v>
      </c>
      <c r="AC72" s="14">
        <f>AC58*'Wyniki-Analiza wrażliwości'!$C$6</f>
        <v>29803837.574529648</v>
      </c>
      <c r="AD72" s="14">
        <f>AD58*'Wyniki-Analiza wrażliwości'!$C$6</f>
        <v>29803837.574529648</v>
      </c>
      <c r="AE72" s="14">
        <f>AE58*'Wyniki-Analiza wrażliwości'!$C$6</f>
        <v>29803837.574529648</v>
      </c>
      <c r="AF72" s="14">
        <f>AF58*'Wyniki-Analiza wrażliwości'!$C$6</f>
        <v>29803837.574529648</v>
      </c>
    </row>
    <row r="73" spans="1:32" s="1" customFormat="1" ht="13.5" x14ac:dyDescent="0.25">
      <c r="A73" s="330" t="s">
        <v>222</v>
      </c>
      <c r="B73" s="219">
        <f t="shared" si="21"/>
        <v>39700274.714285716</v>
      </c>
      <c r="C73" s="14">
        <f>B41*'Wyniki-Analiza wrażliwości'!$C$8</f>
        <v>6606509</v>
      </c>
      <c r="D73" s="14">
        <f>C41*'Wyniki-Analiza wrażliwości'!$C$8</f>
        <v>34748454</v>
      </c>
      <c r="E73" s="14">
        <v>0</v>
      </c>
      <c r="F73" s="14">
        <v>0</v>
      </c>
      <c r="G73" s="14">
        <v>0</v>
      </c>
      <c r="H73" s="14">
        <f>G73</f>
        <v>0</v>
      </c>
      <c r="I73" s="14">
        <f t="shared" ref="I73:AF73" si="23">H73</f>
        <v>0</v>
      </c>
      <c r="J73" s="14">
        <f t="shared" si="23"/>
        <v>0</v>
      </c>
      <c r="K73" s="14">
        <f t="shared" si="23"/>
        <v>0</v>
      </c>
      <c r="L73" s="14">
        <f t="shared" si="23"/>
        <v>0</v>
      </c>
      <c r="M73" s="14">
        <f t="shared" si="23"/>
        <v>0</v>
      </c>
      <c r="N73" s="14">
        <f t="shared" si="23"/>
        <v>0</v>
      </c>
      <c r="O73" s="14">
        <f t="shared" si="23"/>
        <v>0</v>
      </c>
      <c r="P73" s="14">
        <f t="shared" si="23"/>
        <v>0</v>
      </c>
      <c r="Q73" s="14">
        <f t="shared" si="23"/>
        <v>0</v>
      </c>
      <c r="R73" s="14">
        <f t="shared" si="23"/>
        <v>0</v>
      </c>
      <c r="S73" s="14">
        <f t="shared" si="23"/>
        <v>0</v>
      </c>
      <c r="T73" s="14">
        <f t="shared" si="23"/>
        <v>0</v>
      </c>
      <c r="U73" s="14">
        <f t="shared" si="23"/>
        <v>0</v>
      </c>
      <c r="V73" s="14">
        <f t="shared" si="23"/>
        <v>0</v>
      </c>
      <c r="W73" s="14">
        <f t="shared" si="23"/>
        <v>0</v>
      </c>
      <c r="X73" s="14">
        <f t="shared" si="23"/>
        <v>0</v>
      </c>
      <c r="Y73" s="14">
        <f t="shared" si="23"/>
        <v>0</v>
      </c>
      <c r="Z73" s="14">
        <f t="shared" si="23"/>
        <v>0</v>
      </c>
      <c r="AA73" s="14">
        <f t="shared" si="23"/>
        <v>0</v>
      </c>
      <c r="AB73" s="14">
        <f t="shared" si="23"/>
        <v>0</v>
      </c>
      <c r="AC73" s="14">
        <f t="shared" si="23"/>
        <v>0</v>
      </c>
      <c r="AD73" s="14">
        <f t="shared" si="23"/>
        <v>0</v>
      </c>
      <c r="AE73" s="14">
        <f t="shared" si="23"/>
        <v>0</v>
      </c>
      <c r="AF73" s="14">
        <f t="shared" si="23"/>
        <v>0</v>
      </c>
    </row>
    <row r="74" spans="1:32" s="1" customFormat="1" ht="13.5" x14ac:dyDescent="0.25">
      <c r="A74" s="330" t="s">
        <v>71</v>
      </c>
      <c r="B74" s="219">
        <f t="shared" si="21"/>
        <v>66446179.712220542</v>
      </c>
      <c r="C74" s="14">
        <f>C59</f>
        <v>0</v>
      </c>
      <c r="D74" s="14">
        <f t="shared" ref="D74:AB74" si="24">D59</f>
        <v>0</v>
      </c>
      <c r="E74" s="14">
        <f t="shared" si="24"/>
        <v>0</v>
      </c>
      <c r="F74" s="14">
        <f t="shared" si="24"/>
        <v>0</v>
      </c>
      <c r="G74" s="14">
        <f t="shared" si="24"/>
        <v>0</v>
      </c>
      <c r="H74" s="14">
        <f t="shared" si="24"/>
        <v>0</v>
      </c>
      <c r="I74" s="14">
        <f t="shared" si="24"/>
        <v>0</v>
      </c>
      <c r="J74" s="14">
        <f t="shared" si="24"/>
        <v>0</v>
      </c>
      <c r="K74" s="14">
        <f t="shared" si="24"/>
        <v>0</v>
      </c>
      <c r="L74" s="14">
        <f t="shared" si="24"/>
        <v>0</v>
      </c>
      <c r="M74" s="14">
        <f t="shared" si="24"/>
        <v>0</v>
      </c>
      <c r="N74" s="14">
        <f t="shared" si="24"/>
        <v>0</v>
      </c>
      <c r="O74" s="14">
        <f t="shared" si="24"/>
        <v>0</v>
      </c>
      <c r="P74" s="14">
        <f t="shared" si="24"/>
        <v>0</v>
      </c>
      <c r="Q74" s="14">
        <f t="shared" si="24"/>
        <v>0</v>
      </c>
      <c r="R74" s="14">
        <f t="shared" si="24"/>
        <v>0</v>
      </c>
      <c r="S74" s="14">
        <f t="shared" si="24"/>
        <v>0</v>
      </c>
      <c r="T74" s="14">
        <f t="shared" si="24"/>
        <v>0</v>
      </c>
      <c r="U74" s="14">
        <f t="shared" si="24"/>
        <v>0</v>
      </c>
      <c r="V74" s="14">
        <f t="shared" si="24"/>
        <v>0</v>
      </c>
      <c r="W74" s="14">
        <f t="shared" si="24"/>
        <v>0</v>
      </c>
      <c r="X74" s="14">
        <f t="shared" si="24"/>
        <v>0</v>
      </c>
      <c r="Y74" s="14">
        <f t="shared" si="24"/>
        <v>0</v>
      </c>
      <c r="Z74" s="14">
        <f t="shared" si="24"/>
        <v>0</v>
      </c>
      <c r="AA74" s="14">
        <f t="shared" si="24"/>
        <v>0</v>
      </c>
      <c r="AB74" s="14">
        <f t="shared" si="24"/>
        <v>0</v>
      </c>
      <c r="AC74" s="14">
        <f>AC59</f>
        <v>0</v>
      </c>
      <c r="AD74" s="14">
        <f>AD59</f>
        <v>0</v>
      </c>
      <c r="AE74" s="14">
        <f>AE59</f>
        <v>0</v>
      </c>
      <c r="AF74" s="14">
        <f>AF59</f>
        <v>273501485.4905929</v>
      </c>
    </row>
    <row r="75" spans="1:32" s="91" customFormat="1" ht="13.5" x14ac:dyDescent="0.25">
      <c r="A75" s="125" t="s">
        <v>213</v>
      </c>
      <c r="B75" s="216">
        <f t="shared" si="21"/>
        <v>684800825.67572033</v>
      </c>
      <c r="C75" s="15">
        <f>C76+C77</f>
        <v>16449405</v>
      </c>
      <c r="D75" s="15">
        <f t="shared" ref="D75:AB75" si="25">D76+D77</f>
        <v>86982430</v>
      </c>
      <c r="E75" s="15">
        <f t="shared" si="25"/>
        <v>160706566</v>
      </c>
      <c r="F75" s="15">
        <f t="shared" si="25"/>
        <v>110579063.09999999</v>
      </c>
      <c r="G75" s="15">
        <f t="shared" si="25"/>
        <v>103354558.47</v>
      </c>
      <c r="H75" s="15">
        <f t="shared" si="25"/>
        <v>58313531.420000002</v>
      </c>
      <c r="I75" s="15">
        <f t="shared" si="25"/>
        <v>16128763.300000001</v>
      </c>
      <c r="J75" s="15">
        <f t="shared" si="25"/>
        <v>16128763.300000001</v>
      </c>
      <c r="K75" s="15">
        <f t="shared" si="25"/>
        <v>16128763.300000001</v>
      </c>
      <c r="L75" s="15">
        <f t="shared" si="25"/>
        <v>16128763.300000001</v>
      </c>
      <c r="M75" s="15">
        <f t="shared" si="25"/>
        <v>16128763.300000001</v>
      </c>
      <c r="N75" s="15">
        <f t="shared" si="25"/>
        <v>16128763.300000001</v>
      </c>
      <c r="O75" s="15">
        <f t="shared" si="25"/>
        <v>16128763.300000001</v>
      </c>
      <c r="P75" s="15">
        <f t="shared" si="25"/>
        <v>16128763.300000001</v>
      </c>
      <c r="Q75" s="15">
        <f t="shared" si="25"/>
        <v>16128763.300000001</v>
      </c>
      <c r="R75" s="15">
        <f t="shared" si="25"/>
        <v>36983233.950000003</v>
      </c>
      <c r="S75" s="15">
        <f t="shared" si="25"/>
        <v>16128763.299999999</v>
      </c>
      <c r="T75" s="15">
        <f t="shared" si="25"/>
        <v>16128763.299999999</v>
      </c>
      <c r="U75" s="15">
        <f t="shared" si="25"/>
        <v>16128763.299999999</v>
      </c>
      <c r="V75" s="15">
        <f t="shared" si="25"/>
        <v>16128763.299999999</v>
      </c>
      <c r="W75" s="15">
        <f t="shared" si="25"/>
        <v>36983233.950000003</v>
      </c>
      <c r="X75" s="15">
        <f t="shared" si="25"/>
        <v>58128763.299999997</v>
      </c>
      <c r="Y75" s="15">
        <f t="shared" si="25"/>
        <v>16128763.300000001</v>
      </c>
      <c r="Z75" s="15">
        <f t="shared" si="25"/>
        <v>16128763.300000001</v>
      </c>
      <c r="AA75" s="15">
        <f t="shared" si="25"/>
        <v>16128763.300000001</v>
      </c>
      <c r="AB75" s="15">
        <f t="shared" si="25"/>
        <v>36983233.950000003</v>
      </c>
      <c r="AC75" s="15">
        <f>AC76+AC77</f>
        <v>16128763.300000001</v>
      </c>
      <c r="AD75" s="15">
        <f>AD76+AD77</f>
        <v>16128763.300000001</v>
      </c>
      <c r="AE75" s="15">
        <f>AE76+AE77</f>
        <v>16128763.300000001</v>
      </c>
      <c r="AF75" s="15">
        <f>AF76+AF77</f>
        <v>16128763.300000001</v>
      </c>
    </row>
    <row r="76" spans="1:32" s="1" customFormat="1" ht="13.5" x14ac:dyDescent="0.25">
      <c r="A76" s="331" t="s">
        <v>214</v>
      </c>
      <c r="B76" s="219">
        <f t="shared" si="21"/>
        <v>186777792.59974998</v>
      </c>
      <c r="C76" s="14">
        <f>C61*'Wyniki-Analiza wrażliwości'!$C$7</f>
        <v>0</v>
      </c>
      <c r="D76" s="14">
        <f>D61*'Wyniki-Analiza wrażliwości'!$C$7</f>
        <v>2142000</v>
      </c>
      <c r="E76" s="14">
        <f>E61*'Wyniki-Analiza wrażliwości'!$C$7</f>
        <v>2148556</v>
      </c>
      <c r="F76" s="14">
        <f>F61*'Wyniki-Analiza wrażliwości'!$C$7</f>
        <v>2263076</v>
      </c>
      <c r="G76" s="14">
        <f>G61*'Wyniki-Analiza wrażliwości'!$C$7</f>
        <v>2263076</v>
      </c>
      <c r="H76" s="14">
        <f>H61*'Wyniki-Analiza wrażliwości'!$C$7</f>
        <v>5863918</v>
      </c>
      <c r="I76" s="14">
        <f>I61*'Wyniki-Analiza wrażliwości'!$C$7</f>
        <v>16128763.300000001</v>
      </c>
      <c r="J76" s="14">
        <f>J61*'Wyniki-Analiza wrażliwości'!$C$7</f>
        <v>16128763.300000001</v>
      </c>
      <c r="K76" s="14">
        <f>K61*'Wyniki-Analiza wrażliwości'!$C$7</f>
        <v>16128763.300000001</v>
      </c>
      <c r="L76" s="14">
        <f>L61*'Wyniki-Analiza wrażliwości'!$C$7</f>
        <v>16128763.300000001</v>
      </c>
      <c r="M76" s="14">
        <f>M61*'Wyniki-Analiza wrażliwości'!$C$7</f>
        <v>16128763.300000001</v>
      </c>
      <c r="N76" s="14">
        <f>N61*'Wyniki-Analiza wrażliwości'!$C$7</f>
        <v>16128763.300000001</v>
      </c>
      <c r="O76" s="14">
        <f>O61*'Wyniki-Analiza wrażliwości'!$C$7</f>
        <v>16128763.300000001</v>
      </c>
      <c r="P76" s="14">
        <f>P61*'Wyniki-Analiza wrażliwości'!$C$7</f>
        <v>16128763.300000001</v>
      </c>
      <c r="Q76" s="14">
        <f>Q61*'Wyniki-Analiza wrażliwości'!$C$7</f>
        <v>16128763.300000001</v>
      </c>
      <c r="R76" s="14">
        <f>R61*'Wyniki-Analiza wrażliwości'!$C$7</f>
        <v>16128763.300000001</v>
      </c>
      <c r="S76" s="14">
        <f>S61*'Wyniki-Analiza wrażliwości'!$C$7</f>
        <v>16128763.299999999</v>
      </c>
      <c r="T76" s="14">
        <f>T61*'Wyniki-Analiza wrażliwości'!$C$7</f>
        <v>16128763.299999999</v>
      </c>
      <c r="U76" s="14">
        <f>U61*'Wyniki-Analiza wrażliwości'!$C$7</f>
        <v>16128763.299999999</v>
      </c>
      <c r="V76" s="14">
        <f>V61*'Wyniki-Analiza wrażliwości'!$C$7</f>
        <v>16128763.299999999</v>
      </c>
      <c r="W76" s="14">
        <f>W61*'Wyniki-Analiza wrażliwości'!$C$7</f>
        <v>16128763.300000003</v>
      </c>
      <c r="X76" s="14">
        <f>X61*'Wyniki-Analiza wrażliwości'!$C$7</f>
        <v>16128763.300000001</v>
      </c>
      <c r="Y76" s="14">
        <f>Y61*'Wyniki-Analiza wrażliwości'!$C$7</f>
        <v>16128763.300000001</v>
      </c>
      <c r="Z76" s="14">
        <f>Z61*'Wyniki-Analiza wrażliwości'!$C$7</f>
        <v>16128763.300000001</v>
      </c>
      <c r="AA76" s="14">
        <f>AA61*'Wyniki-Analiza wrażliwości'!$C$7</f>
        <v>16128763.300000001</v>
      </c>
      <c r="AB76" s="14">
        <f>AB61*'Wyniki-Analiza wrażliwości'!$C$7</f>
        <v>16128763.300000001</v>
      </c>
      <c r="AC76" s="14">
        <f>AC61*'Wyniki-Analiza wrażliwości'!$C$7</f>
        <v>16128763.300000001</v>
      </c>
      <c r="AD76" s="14">
        <f>AD61*'Wyniki-Analiza wrażliwości'!$C$7</f>
        <v>16128763.300000001</v>
      </c>
      <c r="AE76" s="14">
        <f>AE61*'Wyniki-Analiza wrażliwości'!$C$7</f>
        <v>16128763.300000001</v>
      </c>
      <c r="AF76" s="14">
        <f>AF61*'Wyniki-Analiza wrażliwości'!$C$7</f>
        <v>16128763.300000001</v>
      </c>
    </row>
    <row r="77" spans="1:32" s="1" customFormat="1" ht="13.5" x14ac:dyDescent="0.25">
      <c r="A77" s="330" t="s">
        <v>223</v>
      </c>
      <c r="B77" s="219">
        <f t="shared" si="21"/>
        <v>498023033.07597005</v>
      </c>
      <c r="C77" s="14">
        <f>C62*'Wyniki-Analiza wrażliwości'!$C$5</f>
        <v>16449405</v>
      </c>
      <c r="D77" s="14">
        <f>D62*'Wyniki-Analiza wrażliwości'!$C$5</f>
        <v>84840430</v>
      </c>
      <c r="E77" s="14">
        <f>E62*'Wyniki-Analiza wrażliwości'!$C$5</f>
        <v>158558010</v>
      </c>
      <c r="F77" s="14">
        <f>F62*'Wyniki-Analiza wrażliwości'!$C$5</f>
        <v>108315987.09999999</v>
      </c>
      <c r="G77" s="14">
        <f>G62*'Wyniki-Analiza wrażliwości'!$C$5</f>
        <v>101091482.47</v>
      </c>
      <c r="H77" s="14">
        <f>H62*'Wyniki-Analiza wrażliwości'!$C$5</f>
        <v>52449613.420000002</v>
      </c>
      <c r="I77" s="14">
        <f>I62*'Wyniki-Analiza wrażliwości'!$C$5</f>
        <v>0</v>
      </c>
      <c r="J77" s="14">
        <f>J62*'Wyniki-Analiza wrażliwości'!$C$5</f>
        <v>0</v>
      </c>
      <c r="K77" s="14">
        <f>K62*'Wyniki-Analiza wrażliwości'!$C$5</f>
        <v>0</v>
      </c>
      <c r="L77" s="14">
        <f>L62*'Wyniki-Analiza wrażliwości'!$C$5</f>
        <v>0</v>
      </c>
      <c r="M77" s="14">
        <f>M62*'Wyniki-Analiza wrażliwości'!$C$5</f>
        <v>0</v>
      </c>
      <c r="N77" s="14">
        <f>N62*'Wyniki-Analiza wrażliwości'!$C$5</f>
        <v>0</v>
      </c>
      <c r="O77" s="14">
        <f>O62*'Wyniki-Analiza wrażliwości'!$C$5</f>
        <v>0</v>
      </c>
      <c r="P77" s="14">
        <f>P62*'Wyniki-Analiza wrażliwości'!$C$5</f>
        <v>0</v>
      </c>
      <c r="Q77" s="14">
        <f>Q62*'Wyniki-Analiza wrażliwości'!$C$5</f>
        <v>0</v>
      </c>
      <c r="R77" s="14">
        <f>R62*'Wyniki-Analiza wrażliwości'!$C$5</f>
        <v>20854470.649999999</v>
      </c>
      <c r="S77" s="14">
        <f>S62*'Wyniki-Analiza wrażliwości'!$C$5</f>
        <v>0</v>
      </c>
      <c r="T77" s="14">
        <f>T62*'Wyniki-Analiza wrażliwości'!$C$5</f>
        <v>0</v>
      </c>
      <c r="U77" s="14">
        <f>U62*'Wyniki-Analiza wrażliwości'!$C$5</f>
        <v>0</v>
      </c>
      <c r="V77" s="14">
        <f>V62*'Wyniki-Analiza wrażliwości'!$C$5</f>
        <v>0</v>
      </c>
      <c r="W77" s="14">
        <f>W62*'Wyniki-Analiza wrażliwości'!$C$5</f>
        <v>20854470.649999999</v>
      </c>
      <c r="X77" s="14">
        <f>X62*'Wyniki-Analiza wrażliwości'!$C$5</f>
        <v>42000000</v>
      </c>
      <c r="Y77" s="14">
        <f>Y62*'Wyniki-Analiza wrażliwości'!$C$5</f>
        <v>0</v>
      </c>
      <c r="Z77" s="14">
        <f>Z62*'Wyniki-Analiza wrażliwości'!$C$5</f>
        <v>0</v>
      </c>
      <c r="AA77" s="14">
        <f>AA62*'Wyniki-Analiza wrażliwości'!$C$5</f>
        <v>0</v>
      </c>
      <c r="AB77" s="14">
        <f>AB62*'Wyniki-Analiza wrażliwości'!$C$5</f>
        <v>20854470.649999999</v>
      </c>
      <c r="AC77" s="14">
        <f>AC62*'Wyniki-Analiza wrażliwości'!$C$5</f>
        <v>0</v>
      </c>
      <c r="AD77" s="14">
        <f>AD62*'Wyniki-Analiza wrażliwości'!$C$5</f>
        <v>0</v>
      </c>
      <c r="AE77" s="14">
        <f>AE62*'Wyniki-Analiza wrażliwości'!$C$5</f>
        <v>0</v>
      </c>
      <c r="AF77" s="14">
        <f>AF62*'Wyniki-Analiza wrażliwości'!$C$5</f>
        <v>0</v>
      </c>
    </row>
    <row r="78" spans="1:32" s="91" customFormat="1" ht="13.5" x14ac:dyDescent="0.25">
      <c r="A78" s="125" t="s">
        <v>216</v>
      </c>
      <c r="B78" s="216">
        <f t="shared" si="21"/>
        <v>-249773020.54491195</v>
      </c>
      <c r="C78" s="15">
        <f>C71-C75</f>
        <v>-9842896</v>
      </c>
      <c r="D78" s="15">
        <f t="shared" ref="D78:AB78" si="26">D71-D75</f>
        <v>-50104979.869072646</v>
      </c>
      <c r="E78" s="15">
        <f t="shared" si="26"/>
        <v>-158577569.86907265</v>
      </c>
      <c r="F78" s="15">
        <f t="shared" si="26"/>
        <v>-108339613.0090268</v>
      </c>
      <c r="G78" s="15">
        <f t="shared" si="26"/>
        <v>-98243305.417835146</v>
      </c>
      <c r="H78" s="15">
        <f t="shared" si="26"/>
        <v>-49557297.686322674</v>
      </c>
      <c r="I78" s="15">
        <f t="shared" si="26"/>
        <v>12478807.003235202</v>
      </c>
      <c r="J78" s="15">
        <f t="shared" si="26"/>
        <v>12478807.003235202</v>
      </c>
      <c r="K78" s="15">
        <f t="shared" si="26"/>
        <v>12478807.003235202</v>
      </c>
      <c r="L78" s="15">
        <f t="shared" si="26"/>
        <v>12478807.003235202</v>
      </c>
      <c r="M78" s="15">
        <f t="shared" si="26"/>
        <v>12478807.003235202</v>
      </c>
      <c r="N78" s="15">
        <f t="shared" si="26"/>
        <v>12478807.003235202</v>
      </c>
      <c r="O78" s="15">
        <f t="shared" si="26"/>
        <v>12478807.003235202</v>
      </c>
      <c r="P78" s="15">
        <f t="shared" si="26"/>
        <v>12478807.003235202</v>
      </c>
      <c r="Q78" s="15">
        <f t="shared" si="26"/>
        <v>12478807.003235202</v>
      </c>
      <c r="R78" s="15">
        <f t="shared" si="26"/>
        <v>-8375663.6467648</v>
      </c>
      <c r="S78" s="15">
        <f t="shared" si="26"/>
        <v>13136458.018891228</v>
      </c>
      <c r="T78" s="15">
        <f t="shared" si="26"/>
        <v>13136458.018891228</v>
      </c>
      <c r="U78" s="15">
        <f t="shared" si="26"/>
        <v>13136458.018891228</v>
      </c>
      <c r="V78" s="15">
        <f t="shared" si="26"/>
        <v>13136458.018891228</v>
      </c>
      <c r="W78" s="15">
        <f t="shared" si="26"/>
        <v>-8741693.2433273047</v>
      </c>
      <c r="X78" s="15">
        <f t="shared" si="26"/>
        <v>-31276932.802108333</v>
      </c>
      <c r="Y78" s="15">
        <f t="shared" si="26"/>
        <v>13282268.728437971</v>
      </c>
      <c r="Z78" s="15">
        <f t="shared" si="26"/>
        <v>13282268.728437971</v>
      </c>
      <c r="AA78" s="15">
        <f t="shared" si="26"/>
        <v>13282268.728437971</v>
      </c>
      <c r="AB78" s="15">
        <f t="shared" si="26"/>
        <v>-7572201.9215620309</v>
      </c>
      <c r="AC78" s="15">
        <f>AC71-AC75</f>
        <v>13675074.274529647</v>
      </c>
      <c r="AD78" s="15">
        <f>AD71-AD75</f>
        <v>13675074.274529647</v>
      </c>
      <c r="AE78" s="15">
        <f>AE71-AE75</f>
        <v>13675074.274529647</v>
      </c>
      <c r="AF78" s="15">
        <f>AF71-AF75</f>
        <v>287176559.76512253</v>
      </c>
    </row>
    <row r="79" spans="1:32" s="1" customFormat="1" ht="13.5" x14ac:dyDescent="0.25">
      <c r="A79" s="17" t="s">
        <v>217</v>
      </c>
      <c r="B79" s="366">
        <f>B64</f>
        <v>0.05</v>
      </c>
    </row>
    <row r="80" spans="1:32" s="1" customFormat="1" ht="27" x14ac:dyDescent="0.25">
      <c r="A80" s="333" t="s">
        <v>218</v>
      </c>
      <c r="B80" s="334">
        <f>IRR($C78:$AF78,$C80)</f>
        <v>2.2989725010758022E-4</v>
      </c>
    </row>
    <row r="81" spans="1:32" s="1" customFormat="1" ht="27" x14ac:dyDescent="0.25">
      <c r="A81" s="288" t="s">
        <v>219</v>
      </c>
      <c r="B81" s="304">
        <f>C78+NPV($C$17,D78:AF78)</f>
        <v>-249773020.54491195</v>
      </c>
    </row>
    <row r="82" spans="1:32" s="1" customFormat="1" ht="27" x14ac:dyDescent="0.25">
      <c r="A82" s="288" t="s">
        <v>218</v>
      </c>
      <c r="B82" s="336" t="s">
        <v>220</v>
      </c>
    </row>
    <row r="83" spans="1:32" s="1" customFormat="1" ht="13.5" x14ac:dyDescent="0.25">
      <c r="A83" s="367" t="s">
        <v>224</v>
      </c>
      <c r="B83" s="368"/>
      <c r="C83" s="369"/>
    </row>
    <row r="84" spans="1:32" s="1" customFormat="1" ht="13.5" x14ac:dyDescent="0.25">
      <c r="A84" s="339"/>
      <c r="B84" s="339"/>
      <c r="C84" s="339"/>
      <c r="D84" s="340"/>
    </row>
    <row r="85" spans="1:32" s="1" customFormat="1" ht="14.25" customHeight="1" x14ac:dyDescent="0.25">
      <c r="A85" s="468" t="s">
        <v>225</v>
      </c>
      <c r="B85" s="469"/>
      <c r="C85" s="469"/>
      <c r="D85" s="469"/>
      <c r="E85" s="469"/>
      <c r="F85" s="469"/>
      <c r="G85" s="469"/>
      <c r="H85" s="469"/>
      <c r="I85" s="469"/>
      <c r="J85" s="470"/>
    </row>
    <row r="86" spans="1:32" s="1" customFormat="1" ht="13.5" x14ac:dyDescent="0.25">
      <c r="A86" s="364"/>
      <c r="B86" s="17" t="s">
        <v>189</v>
      </c>
      <c r="C86" s="18">
        <f>C56</f>
        <v>2015</v>
      </c>
      <c r="D86" s="18">
        <f t="shared" ref="D86:AF86" si="27">D56</f>
        <v>2016</v>
      </c>
      <c r="E86" s="18">
        <f t="shared" si="27"/>
        <v>2017</v>
      </c>
      <c r="F86" s="18">
        <f t="shared" si="27"/>
        <v>2018</v>
      </c>
      <c r="G86" s="18">
        <f t="shared" si="27"/>
        <v>2019</v>
      </c>
      <c r="H86" s="18">
        <f t="shared" si="27"/>
        <v>2020</v>
      </c>
      <c r="I86" s="18">
        <f t="shared" si="27"/>
        <v>2021</v>
      </c>
      <c r="J86" s="18">
        <f t="shared" si="27"/>
        <v>2022</v>
      </c>
      <c r="K86" s="18">
        <f t="shared" si="27"/>
        <v>2023</v>
      </c>
      <c r="L86" s="18">
        <f t="shared" si="27"/>
        <v>2024</v>
      </c>
      <c r="M86" s="18">
        <f t="shared" si="27"/>
        <v>2025</v>
      </c>
      <c r="N86" s="18">
        <f t="shared" si="27"/>
        <v>2026</v>
      </c>
      <c r="O86" s="18">
        <f t="shared" si="27"/>
        <v>2027</v>
      </c>
      <c r="P86" s="18">
        <f t="shared" si="27"/>
        <v>2028</v>
      </c>
      <c r="Q86" s="18">
        <f t="shared" si="27"/>
        <v>2029</v>
      </c>
      <c r="R86" s="18">
        <f t="shared" si="27"/>
        <v>2030</v>
      </c>
      <c r="S86" s="18">
        <f t="shared" si="27"/>
        <v>2031</v>
      </c>
      <c r="T86" s="18">
        <f t="shared" si="27"/>
        <v>2032</v>
      </c>
      <c r="U86" s="18">
        <f t="shared" si="27"/>
        <v>2033</v>
      </c>
      <c r="V86" s="18">
        <f t="shared" si="27"/>
        <v>2034</v>
      </c>
      <c r="W86" s="18">
        <f t="shared" si="27"/>
        <v>2035</v>
      </c>
      <c r="X86" s="18">
        <f t="shared" si="27"/>
        <v>2036</v>
      </c>
      <c r="Y86" s="18">
        <f t="shared" si="27"/>
        <v>2037</v>
      </c>
      <c r="Z86" s="18">
        <f t="shared" si="27"/>
        <v>2038</v>
      </c>
      <c r="AA86" s="18">
        <f t="shared" si="27"/>
        <v>2039</v>
      </c>
      <c r="AB86" s="18">
        <f t="shared" si="27"/>
        <v>2040</v>
      </c>
      <c r="AC86" s="18">
        <f t="shared" si="27"/>
        <v>2041</v>
      </c>
      <c r="AD86" s="18">
        <f t="shared" si="27"/>
        <v>2042</v>
      </c>
      <c r="AE86" s="18">
        <f t="shared" si="27"/>
        <v>2043</v>
      </c>
      <c r="AF86" s="18">
        <f t="shared" si="27"/>
        <v>2044</v>
      </c>
    </row>
    <row r="87" spans="1:32" s="91" customFormat="1" ht="13.5" x14ac:dyDescent="0.25">
      <c r="A87" s="125" t="s">
        <v>212</v>
      </c>
      <c r="B87" s="216">
        <f t="shared" ref="B87:B92" si="28">C87+NPV($C$17,D87:AF87)</f>
        <v>395327530.41652244</v>
      </c>
      <c r="C87" s="15">
        <f>C88+C89</f>
        <v>0</v>
      </c>
      <c r="D87" s="15">
        <f t="shared" ref="D87:AB87" si="29">D88+D89</f>
        <v>2128996.1309273541</v>
      </c>
      <c r="E87" s="15">
        <f t="shared" si="29"/>
        <v>2128996.1309273541</v>
      </c>
      <c r="F87" s="15">
        <f t="shared" si="29"/>
        <v>2239450.0909731984</v>
      </c>
      <c r="G87" s="15">
        <f t="shared" si="29"/>
        <v>5111253.0521648526</v>
      </c>
      <c r="H87" s="15">
        <f t="shared" si="29"/>
        <v>8756233.7336773276</v>
      </c>
      <c r="I87" s="15">
        <f t="shared" si="29"/>
        <v>28607570.303235203</v>
      </c>
      <c r="J87" s="15">
        <f t="shared" si="29"/>
        <v>28607570.303235203</v>
      </c>
      <c r="K87" s="15">
        <f t="shared" si="29"/>
        <v>28607570.303235203</v>
      </c>
      <c r="L87" s="15">
        <f t="shared" si="29"/>
        <v>28607570.303235203</v>
      </c>
      <c r="M87" s="15">
        <f t="shared" si="29"/>
        <v>28607570.303235203</v>
      </c>
      <c r="N87" s="15">
        <f t="shared" si="29"/>
        <v>28607570.303235203</v>
      </c>
      <c r="O87" s="15">
        <f t="shared" si="29"/>
        <v>28607570.303235203</v>
      </c>
      <c r="P87" s="15">
        <f t="shared" si="29"/>
        <v>28607570.303235203</v>
      </c>
      <c r="Q87" s="15">
        <f t="shared" si="29"/>
        <v>28607570.303235203</v>
      </c>
      <c r="R87" s="15">
        <f t="shared" si="29"/>
        <v>28607570.303235203</v>
      </c>
      <c r="S87" s="15">
        <f t="shared" si="29"/>
        <v>29265221.318891227</v>
      </c>
      <c r="T87" s="15">
        <f t="shared" si="29"/>
        <v>29265221.318891227</v>
      </c>
      <c r="U87" s="15">
        <f t="shared" si="29"/>
        <v>29265221.318891227</v>
      </c>
      <c r="V87" s="15">
        <f t="shared" si="29"/>
        <v>29265221.318891227</v>
      </c>
      <c r="W87" s="15">
        <f t="shared" si="29"/>
        <v>28241540.706672698</v>
      </c>
      <c r="X87" s="15">
        <f t="shared" si="29"/>
        <v>26851830.497891665</v>
      </c>
      <c r="Y87" s="15">
        <f t="shared" si="29"/>
        <v>29411032.028437972</v>
      </c>
      <c r="Z87" s="15">
        <f t="shared" si="29"/>
        <v>29411032.028437972</v>
      </c>
      <c r="AA87" s="15">
        <f t="shared" si="29"/>
        <v>29411032.028437972</v>
      </c>
      <c r="AB87" s="15">
        <f t="shared" si="29"/>
        <v>29411032.028437972</v>
      </c>
      <c r="AC87" s="15">
        <f>AC88+AC89</f>
        <v>29803837.574529648</v>
      </c>
      <c r="AD87" s="15">
        <f>AD88+AD89</f>
        <v>29803837.574529648</v>
      </c>
      <c r="AE87" s="15">
        <f>AE88+AE89</f>
        <v>29803837.574529648</v>
      </c>
      <c r="AF87" s="15">
        <f>AF88+AF89</f>
        <v>303305323.06512254</v>
      </c>
    </row>
    <row r="88" spans="1:32" s="1" customFormat="1" ht="13.5" x14ac:dyDescent="0.25">
      <c r="A88" s="330" t="str">
        <f>A72</f>
        <v xml:space="preserve">Przychody ze sprzedaży </v>
      </c>
      <c r="B88" s="219">
        <f t="shared" si="28"/>
        <v>328881350.70430189</v>
      </c>
      <c r="C88" s="341">
        <f>C72</f>
        <v>0</v>
      </c>
      <c r="D88" s="341">
        <f t="shared" ref="D88:AB88" si="30">D72</f>
        <v>2128996.1309273541</v>
      </c>
      <c r="E88" s="341">
        <f t="shared" si="30"/>
        <v>2128996.1309273541</v>
      </c>
      <c r="F88" s="341">
        <f t="shared" si="30"/>
        <v>2239450.0909731984</v>
      </c>
      <c r="G88" s="341">
        <f t="shared" si="30"/>
        <v>5111253.0521648526</v>
      </c>
      <c r="H88" s="341">
        <f t="shared" si="30"/>
        <v>8756233.7336773276</v>
      </c>
      <c r="I88" s="341">
        <f t="shared" si="30"/>
        <v>28607570.303235203</v>
      </c>
      <c r="J88" s="341">
        <f t="shared" si="30"/>
        <v>28607570.303235203</v>
      </c>
      <c r="K88" s="341">
        <f t="shared" si="30"/>
        <v>28607570.303235203</v>
      </c>
      <c r="L88" s="341">
        <f t="shared" si="30"/>
        <v>28607570.303235203</v>
      </c>
      <c r="M88" s="341">
        <f t="shared" si="30"/>
        <v>28607570.303235203</v>
      </c>
      <c r="N88" s="341">
        <f t="shared" si="30"/>
        <v>28607570.303235203</v>
      </c>
      <c r="O88" s="341">
        <f t="shared" si="30"/>
        <v>28607570.303235203</v>
      </c>
      <c r="P88" s="341">
        <f t="shared" si="30"/>
        <v>28607570.303235203</v>
      </c>
      <c r="Q88" s="341">
        <f t="shared" si="30"/>
        <v>28607570.303235203</v>
      </c>
      <c r="R88" s="341">
        <f t="shared" si="30"/>
        <v>28607570.303235203</v>
      </c>
      <c r="S88" s="341">
        <f t="shared" si="30"/>
        <v>29265221.318891227</v>
      </c>
      <c r="T88" s="341">
        <f t="shared" si="30"/>
        <v>29265221.318891227</v>
      </c>
      <c r="U88" s="341">
        <f t="shared" si="30"/>
        <v>29265221.318891227</v>
      </c>
      <c r="V88" s="341">
        <f t="shared" si="30"/>
        <v>29265221.318891227</v>
      </c>
      <c r="W88" s="341">
        <f t="shared" si="30"/>
        <v>28241540.706672698</v>
      </c>
      <c r="X88" s="341">
        <f t="shared" si="30"/>
        <v>26851830.497891665</v>
      </c>
      <c r="Y88" s="341">
        <f t="shared" si="30"/>
        <v>29411032.028437972</v>
      </c>
      <c r="Z88" s="341">
        <f t="shared" si="30"/>
        <v>29411032.028437972</v>
      </c>
      <c r="AA88" s="341">
        <f t="shared" si="30"/>
        <v>29411032.028437972</v>
      </c>
      <c r="AB88" s="341">
        <f t="shared" si="30"/>
        <v>29411032.028437972</v>
      </c>
      <c r="AC88" s="341">
        <f>AC72</f>
        <v>29803837.574529648</v>
      </c>
      <c r="AD88" s="341">
        <f>AD72</f>
        <v>29803837.574529648</v>
      </c>
      <c r="AE88" s="341">
        <f>AE72</f>
        <v>29803837.574529648</v>
      </c>
      <c r="AF88" s="341">
        <f>AF72</f>
        <v>29803837.574529648</v>
      </c>
    </row>
    <row r="89" spans="1:32" s="1" customFormat="1" ht="13.5" x14ac:dyDescent="0.25">
      <c r="A89" s="330" t="s">
        <v>71</v>
      </c>
      <c r="B89" s="219">
        <f t="shared" si="28"/>
        <v>66446179.712220542</v>
      </c>
      <c r="C89" s="341">
        <f>C74</f>
        <v>0</v>
      </c>
      <c r="D89" s="341">
        <f t="shared" ref="D89:AB89" si="31">D74</f>
        <v>0</v>
      </c>
      <c r="E89" s="341">
        <f t="shared" si="31"/>
        <v>0</v>
      </c>
      <c r="F89" s="341">
        <f t="shared" si="31"/>
        <v>0</v>
      </c>
      <c r="G89" s="341">
        <f t="shared" si="31"/>
        <v>0</v>
      </c>
      <c r="H89" s="341">
        <f t="shared" si="31"/>
        <v>0</v>
      </c>
      <c r="I89" s="341">
        <f t="shared" si="31"/>
        <v>0</v>
      </c>
      <c r="J89" s="341">
        <f t="shared" si="31"/>
        <v>0</v>
      </c>
      <c r="K89" s="341">
        <f t="shared" si="31"/>
        <v>0</v>
      </c>
      <c r="L89" s="341">
        <f t="shared" si="31"/>
        <v>0</v>
      </c>
      <c r="M89" s="341">
        <f t="shared" si="31"/>
        <v>0</v>
      </c>
      <c r="N89" s="341">
        <f t="shared" si="31"/>
        <v>0</v>
      </c>
      <c r="O89" s="341">
        <f t="shared" si="31"/>
        <v>0</v>
      </c>
      <c r="P89" s="341">
        <f t="shared" si="31"/>
        <v>0</v>
      </c>
      <c r="Q89" s="341">
        <f t="shared" si="31"/>
        <v>0</v>
      </c>
      <c r="R89" s="341">
        <f t="shared" si="31"/>
        <v>0</v>
      </c>
      <c r="S89" s="341">
        <f t="shared" si="31"/>
        <v>0</v>
      </c>
      <c r="T89" s="341">
        <f t="shared" si="31"/>
        <v>0</v>
      </c>
      <c r="U89" s="341">
        <f t="shared" si="31"/>
        <v>0</v>
      </c>
      <c r="V89" s="341">
        <f t="shared" si="31"/>
        <v>0</v>
      </c>
      <c r="W89" s="341">
        <f t="shared" si="31"/>
        <v>0</v>
      </c>
      <c r="X89" s="341">
        <f t="shared" si="31"/>
        <v>0</v>
      </c>
      <c r="Y89" s="341">
        <f t="shared" si="31"/>
        <v>0</v>
      </c>
      <c r="Z89" s="341">
        <f t="shared" si="31"/>
        <v>0</v>
      </c>
      <c r="AA89" s="341">
        <f t="shared" si="31"/>
        <v>0</v>
      </c>
      <c r="AB89" s="341">
        <f t="shared" si="31"/>
        <v>0</v>
      </c>
      <c r="AC89" s="341">
        <f>AC74</f>
        <v>0</v>
      </c>
      <c r="AD89" s="341">
        <f>AD74</f>
        <v>0</v>
      </c>
      <c r="AE89" s="341">
        <f>AE74</f>
        <v>0</v>
      </c>
      <c r="AF89" s="341">
        <f>AF74</f>
        <v>273501485.4905929</v>
      </c>
    </row>
    <row r="90" spans="1:32" s="91" customFormat="1" ht="13.5" x14ac:dyDescent="0.25">
      <c r="A90" s="125" t="s">
        <v>213</v>
      </c>
      <c r="B90" s="216">
        <f t="shared" si="28"/>
        <v>496005556.00086898</v>
      </c>
      <c r="C90" s="15">
        <f>SUM(C91:C94)</f>
        <v>9842896</v>
      </c>
      <c r="D90" s="15">
        <f t="shared" ref="D90:AB90" si="32">SUM(D91:D94)</f>
        <v>52233976</v>
      </c>
      <c r="E90" s="15">
        <f t="shared" si="32"/>
        <v>93034988</v>
      </c>
      <c r="F90" s="15">
        <f t="shared" si="32"/>
        <v>66984170.719999991</v>
      </c>
      <c r="G90" s="15">
        <f t="shared" si="32"/>
        <v>62661215.109999999</v>
      </c>
      <c r="H90" s="15">
        <f t="shared" si="32"/>
        <v>37156028.150000006</v>
      </c>
      <c r="I90" s="15">
        <f t="shared" si="32"/>
        <v>16128763.300000001</v>
      </c>
      <c r="J90" s="15">
        <f t="shared" si="32"/>
        <v>16128763.300000001</v>
      </c>
      <c r="K90" s="15">
        <f t="shared" si="32"/>
        <v>16128763.300000001</v>
      </c>
      <c r="L90" s="15">
        <f t="shared" si="32"/>
        <v>16128763.300000001</v>
      </c>
      <c r="M90" s="15">
        <f t="shared" si="32"/>
        <v>16128763.300000001</v>
      </c>
      <c r="N90" s="15">
        <f t="shared" si="32"/>
        <v>16128763.300000001</v>
      </c>
      <c r="O90" s="15">
        <f t="shared" si="32"/>
        <v>16128763.300000001</v>
      </c>
      <c r="P90" s="15">
        <f t="shared" si="32"/>
        <v>16128763.300000001</v>
      </c>
      <c r="Q90" s="15">
        <f t="shared" si="32"/>
        <v>16128763.300000001</v>
      </c>
      <c r="R90" s="15">
        <f t="shared" si="32"/>
        <v>36983233.950000003</v>
      </c>
      <c r="S90" s="15">
        <f t="shared" si="32"/>
        <v>16128763.299999999</v>
      </c>
      <c r="T90" s="15">
        <f t="shared" si="32"/>
        <v>16128763.299999999</v>
      </c>
      <c r="U90" s="15">
        <f t="shared" si="32"/>
        <v>16128763.299999999</v>
      </c>
      <c r="V90" s="15">
        <f t="shared" si="32"/>
        <v>16128763.299999999</v>
      </c>
      <c r="W90" s="15">
        <f t="shared" si="32"/>
        <v>36983233.950000003</v>
      </c>
      <c r="X90" s="15">
        <f t="shared" si="32"/>
        <v>58128763.299999997</v>
      </c>
      <c r="Y90" s="15">
        <f t="shared" si="32"/>
        <v>16128763.300000001</v>
      </c>
      <c r="Z90" s="15">
        <f t="shared" si="32"/>
        <v>16128763.300000001</v>
      </c>
      <c r="AA90" s="15">
        <f t="shared" si="32"/>
        <v>16128763.300000001</v>
      </c>
      <c r="AB90" s="15">
        <f t="shared" si="32"/>
        <v>36983233.950000003</v>
      </c>
      <c r="AC90" s="15">
        <f>SUM(AC91:AC94)</f>
        <v>16128763.300000001</v>
      </c>
      <c r="AD90" s="15">
        <f>SUM(AD91:AD94)</f>
        <v>16128763.300000001</v>
      </c>
      <c r="AE90" s="15">
        <f>SUM(AE91:AE94)</f>
        <v>16128763.300000001</v>
      </c>
      <c r="AF90" s="15">
        <f>SUM(AF91:AF94)</f>
        <v>16128763.300000001</v>
      </c>
    </row>
    <row r="91" spans="1:32" s="1" customFormat="1" ht="13.5" x14ac:dyDescent="0.25">
      <c r="A91" s="331" t="s">
        <v>214</v>
      </c>
      <c r="B91" s="219">
        <f t="shared" si="28"/>
        <v>186777792.59974998</v>
      </c>
      <c r="C91" s="341">
        <f>C76</f>
        <v>0</v>
      </c>
      <c r="D91" s="341">
        <f t="shared" ref="D91:AB91" si="33">D76</f>
        <v>2142000</v>
      </c>
      <c r="E91" s="341">
        <f t="shared" si="33"/>
        <v>2148556</v>
      </c>
      <c r="F91" s="341">
        <f t="shared" si="33"/>
        <v>2263076</v>
      </c>
      <c r="G91" s="341">
        <f t="shared" si="33"/>
        <v>2263076</v>
      </c>
      <c r="H91" s="341">
        <f>H76</f>
        <v>5863918</v>
      </c>
      <c r="I91" s="341">
        <f t="shared" si="33"/>
        <v>16128763.300000001</v>
      </c>
      <c r="J91" s="341">
        <f t="shared" si="33"/>
        <v>16128763.300000001</v>
      </c>
      <c r="K91" s="341">
        <f t="shared" si="33"/>
        <v>16128763.300000001</v>
      </c>
      <c r="L91" s="341">
        <f t="shared" si="33"/>
        <v>16128763.300000001</v>
      </c>
      <c r="M91" s="341">
        <f t="shared" si="33"/>
        <v>16128763.300000001</v>
      </c>
      <c r="N91" s="341">
        <f t="shared" si="33"/>
        <v>16128763.300000001</v>
      </c>
      <c r="O91" s="341">
        <f t="shared" si="33"/>
        <v>16128763.300000001</v>
      </c>
      <c r="P91" s="341">
        <f t="shared" si="33"/>
        <v>16128763.300000001</v>
      </c>
      <c r="Q91" s="341">
        <f t="shared" si="33"/>
        <v>16128763.300000001</v>
      </c>
      <c r="R91" s="341">
        <f t="shared" si="33"/>
        <v>16128763.300000001</v>
      </c>
      <c r="S91" s="341">
        <f t="shared" si="33"/>
        <v>16128763.299999999</v>
      </c>
      <c r="T91" s="341">
        <f t="shared" si="33"/>
        <v>16128763.299999999</v>
      </c>
      <c r="U91" s="341">
        <f t="shared" si="33"/>
        <v>16128763.299999999</v>
      </c>
      <c r="V91" s="341">
        <f t="shared" si="33"/>
        <v>16128763.299999999</v>
      </c>
      <c r="W91" s="341">
        <f t="shared" si="33"/>
        <v>16128763.300000003</v>
      </c>
      <c r="X91" s="341">
        <f t="shared" si="33"/>
        <v>16128763.300000001</v>
      </c>
      <c r="Y91" s="341">
        <f t="shared" si="33"/>
        <v>16128763.300000001</v>
      </c>
      <c r="Z91" s="341">
        <f t="shared" si="33"/>
        <v>16128763.300000001</v>
      </c>
      <c r="AA91" s="341">
        <f t="shared" si="33"/>
        <v>16128763.300000001</v>
      </c>
      <c r="AB91" s="341">
        <f t="shared" si="33"/>
        <v>16128763.300000001</v>
      </c>
      <c r="AC91" s="341">
        <f>AC76</f>
        <v>16128763.300000001</v>
      </c>
      <c r="AD91" s="341">
        <f>AD76</f>
        <v>16128763.300000001</v>
      </c>
      <c r="AE91" s="341">
        <f>AE76</f>
        <v>16128763.300000001</v>
      </c>
      <c r="AF91" s="341">
        <f>AF76</f>
        <v>16128763.300000001</v>
      </c>
    </row>
    <row r="92" spans="1:32" s="1" customFormat="1" ht="13.5" x14ac:dyDescent="0.25">
      <c r="A92" s="330" t="s">
        <v>226</v>
      </c>
      <c r="B92" s="219">
        <f t="shared" si="28"/>
        <v>309227763.40111899</v>
      </c>
      <c r="C92" s="341">
        <f>B50</f>
        <v>9842896</v>
      </c>
      <c r="D92" s="341">
        <f t="shared" ref="D92:G92" si="34">C50</f>
        <v>50091976</v>
      </c>
      <c r="E92" s="341">
        <f t="shared" si="34"/>
        <v>90886432</v>
      </c>
      <c r="F92" s="341">
        <f t="shared" si="34"/>
        <v>64721094.719999991</v>
      </c>
      <c r="G92" s="341">
        <f t="shared" si="34"/>
        <v>60398139.109999999</v>
      </c>
      <c r="H92" s="341">
        <f>G50</f>
        <v>31292110.150000002</v>
      </c>
      <c r="I92" s="341">
        <f t="shared" ref="I92:AF92" si="35">I12</f>
        <v>0</v>
      </c>
      <c r="J92" s="341">
        <f t="shared" si="35"/>
        <v>0</v>
      </c>
      <c r="K92" s="341">
        <f t="shared" si="35"/>
        <v>0</v>
      </c>
      <c r="L92" s="341">
        <f t="shared" si="35"/>
        <v>0</v>
      </c>
      <c r="M92" s="341">
        <f t="shared" si="35"/>
        <v>0</v>
      </c>
      <c r="N92" s="341">
        <f t="shared" si="35"/>
        <v>0</v>
      </c>
      <c r="O92" s="341">
        <f t="shared" si="35"/>
        <v>0</v>
      </c>
      <c r="P92" s="341">
        <f t="shared" si="35"/>
        <v>0</v>
      </c>
      <c r="Q92" s="341">
        <f t="shared" si="35"/>
        <v>0</v>
      </c>
      <c r="R92" s="341">
        <f t="shared" si="35"/>
        <v>20854470.649999999</v>
      </c>
      <c r="S92" s="341">
        <f t="shared" si="35"/>
        <v>0</v>
      </c>
      <c r="T92" s="341">
        <f t="shared" si="35"/>
        <v>0</v>
      </c>
      <c r="U92" s="341">
        <f t="shared" si="35"/>
        <v>0</v>
      </c>
      <c r="V92" s="341">
        <f t="shared" si="35"/>
        <v>0</v>
      </c>
      <c r="W92" s="341">
        <f t="shared" si="35"/>
        <v>20854470.649999999</v>
      </c>
      <c r="X92" s="341">
        <f t="shared" si="35"/>
        <v>42000000</v>
      </c>
      <c r="Y92" s="341">
        <f t="shared" si="35"/>
        <v>0</v>
      </c>
      <c r="Z92" s="341">
        <f t="shared" si="35"/>
        <v>0</v>
      </c>
      <c r="AA92" s="341">
        <f t="shared" si="35"/>
        <v>0</v>
      </c>
      <c r="AB92" s="341">
        <f t="shared" si="35"/>
        <v>20854470.649999999</v>
      </c>
      <c r="AC92" s="341">
        <f t="shared" si="35"/>
        <v>0</v>
      </c>
      <c r="AD92" s="341">
        <f t="shared" si="35"/>
        <v>0</v>
      </c>
      <c r="AE92" s="341">
        <f t="shared" si="35"/>
        <v>0</v>
      </c>
      <c r="AF92" s="341">
        <f t="shared" si="35"/>
        <v>0</v>
      </c>
    </row>
    <row r="93" spans="1:32" s="1" customFormat="1" ht="13.5" x14ac:dyDescent="0.25">
      <c r="A93" s="342" t="s">
        <v>227</v>
      </c>
      <c r="B93" s="219">
        <f>NPV($C$17,C93:AB93)</f>
        <v>0</v>
      </c>
      <c r="C93" s="341">
        <v>0</v>
      </c>
      <c r="D93" s="341">
        <v>0</v>
      </c>
      <c r="E93" s="341">
        <v>0</v>
      </c>
      <c r="F93" s="341">
        <v>0</v>
      </c>
      <c r="G93" s="341">
        <v>0</v>
      </c>
      <c r="H93" s="341">
        <v>0</v>
      </c>
      <c r="I93" s="341">
        <v>0</v>
      </c>
      <c r="J93" s="341">
        <v>0</v>
      </c>
      <c r="K93" s="341">
        <v>0</v>
      </c>
      <c r="L93" s="341">
        <v>0</v>
      </c>
      <c r="M93" s="341">
        <v>0</v>
      </c>
      <c r="N93" s="341">
        <v>0</v>
      </c>
      <c r="O93" s="341">
        <v>0</v>
      </c>
      <c r="P93" s="341">
        <v>0</v>
      </c>
      <c r="Q93" s="341">
        <v>0</v>
      </c>
      <c r="R93" s="341">
        <v>0</v>
      </c>
      <c r="S93" s="341">
        <v>0</v>
      </c>
      <c r="T93" s="341">
        <v>0</v>
      </c>
      <c r="U93" s="341">
        <v>0</v>
      </c>
      <c r="V93" s="341">
        <v>0</v>
      </c>
      <c r="W93" s="341">
        <v>0</v>
      </c>
      <c r="X93" s="341">
        <v>0</v>
      </c>
      <c r="Y93" s="341">
        <v>0</v>
      </c>
      <c r="Z93" s="341">
        <v>0</v>
      </c>
      <c r="AA93" s="341">
        <v>0</v>
      </c>
      <c r="AB93" s="341">
        <v>0</v>
      </c>
      <c r="AC93" s="341">
        <v>0</v>
      </c>
      <c r="AD93" s="341">
        <v>0</v>
      </c>
      <c r="AE93" s="341">
        <v>0</v>
      </c>
      <c r="AF93" s="341">
        <v>0</v>
      </c>
    </row>
    <row r="94" spans="1:32" s="1" customFormat="1" ht="13.5" x14ac:dyDescent="0.25">
      <c r="A94" s="342" t="s">
        <v>228</v>
      </c>
      <c r="B94" s="219">
        <f>NPV($C$17,C94:AB94)</f>
        <v>0</v>
      </c>
      <c r="C94" s="341">
        <v>0</v>
      </c>
      <c r="D94" s="341">
        <v>0</v>
      </c>
      <c r="E94" s="341">
        <v>0</v>
      </c>
      <c r="F94" s="341">
        <v>0</v>
      </c>
      <c r="G94" s="341">
        <v>0</v>
      </c>
      <c r="H94" s="341">
        <v>0</v>
      </c>
      <c r="I94" s="341">
        <v>0</v>
      </c>
      <c r="J94" s="341">
        <v>0</v>
      </c>
      <c r="K94" s="341">
        <v>0</v>
      </c>
      <c r="L94" s="341">
        <v>0</v>
      </c>
      <c r="M94" s="341">
        <v>0</v>
      </c>
      <c r="N94" s="341">
        <v>0</v>
      </c>
      <c r="O94" s="341">
        <v>0</v>
      </c>
      <c r="P94" s="341">
        <v>0</v>
      </c>
      <c r="Q94" s="341">
        <v>0</v>
      </c>
      <c r="R94" s="341">
        <v>0</v>
      </c>
      <c r="S94" s="341">
        <v>0</v>
      </c>
      <c r="T94" s="341">
        <v>0</v>
      </c>
      <c r="U94" s="341">
        <v>0</v>
      </c>
      <c r="V94" s="341">
        <v>0</v>
      </c>
      <c r="W94" s="341">
        <v>0</v>
      </c>
      <c r="X94" s="341">
        <v>0</v>
      </c>
      <c r="Y94" s="341">
        <v>0</v>
      </c>
      <c r="Z94" s="341">
        <v>0</v>
      </c>
      <c r="AA94" s="341">
        <v>0</v>
      </c>
      <c r="AB94" s="341">
        <v>0</v>
      </c>
      <c r="AC94" s="341">
        <v>0</v>
      </c>
      <c r="AD94" s="341">
        <v>0</v>
      </c>
      <c r="AE94" s="341">
        <v>0</v>
      </c>
      <c r="AF94" s="341">
        <v>0</v>
      </c>
    </row>
    <row r="95" spans="1:32" s="91" customFormat="1" ht="13.5" x14ac:dyDescent="0.25">
      <c r="A95" s="125" t="s">
        <v>216</v>
      </c>
      <c r="B95" s="216">
        <f>C95+NPV($C$17,D95:AF95)</f>
        <v>-100678025.58434643</v>
      </c>
      <c r="C95" s="15">
        <f>C87-C90</f>
        <v>-9842896</v>
      </c>
      <c r="D95" s="15">
        <f t="shared" ref="D95:AB95" si="36">D87-D90</f>
        <v>-50104979.869072646</v>
      </c>
      <c r="E95" s="15">
        <f t="shared" si="36"/>
        <v>-90905991.869072646</v>
      </c>
      <c r="F95" s="15">
        <f t="shared" si="36"/>
        <v>-64744720.629026793</v>
      </c>
      <c r="G95" s="15">
        <f t="shared" si="36"/>
        <v>-57549962.057835147</v>
      </c>
      <c r="H95" s="15">
        <f>H87-H90</f>
        <v>-28399794.416322678</v>
      </c>
      <c r="I95" s="15">
        <f t="shared" si="36"/>
        <v>12478807.003235202</v>
      </c>
      <c r="J95" s="15">
        <f t="shared" si="36"/>
        <v>12478807.003235202</v>
      </c>
      <c r="K95" s="15">
        <f t="shared" si="36"/>
        <v>12478807.003235202</v>
      </c>
      <c r="L95" s="15">
        <f t="shared" si="36"/>
        <v>12478807.003235202</v>
      </c>
      <c r="M95" s="15">
        <f t="shared" si="36"/>
        <v>12478807.003235202</v>
      </c>
      <c r="N95" s="15">
        <f t="shared" si="36"/>
        <v>12478807.003235202</v>
      </c>
      <c r="O95" s="15">
        <f t="shared" si="36"/>
        <v>12478807.003235202</v>
      </c>
      <c r="P95" s="15">
        <f t="shared" si="36"/>
        <v>12478807.003235202</v>
      </c>
      <c r="Q95" s="15">
        <f t="shared" si="36"/>
        <v>12478807.003235202</v>
      </c>
      <c r="R95" s="15">
        <f t="shared" si="36"/>
        <v>-8375663.6467648</v>
      </c>
      <c r="S95" s="15">
        <f t="shared" si="36"/>
        <v>13136458.018891228</v>
      </c>
      <c r="T95" s="15">
        <f t="shared" si="36"/>
        <v>13136458.018891228</v>
      </c>
      <c r="U95" s="15">
        <f t="shared" si="36"/>
        <v>13136458.018891228</v>
      </c>
      <c r="V95" s="15">
        <f t="shared" si="36"/>
        <v>13136458.018891228</v>
      </c>
      <c r="W95" s="15">
        <f t="shared" si="36"/>
        <v>-8741693.2433273047</v>
      </c>
      <c r="X95" s="15">
        <f t="shared" si="36"/>
        <v>-31276932.802108333</v>
      </c>
      <c r="Y95" s="15">
        <f t="shared" si="36"/>
        <v>13282268.728437971</v>
      </c>
      <c r="Z95" s="15">
        <f t="shared" si="36"/>
        <v>13282268.728437971</v>
      </c>
      <c r="AA95" s="15">
        <f t="shared" si="36"/>
        <v>13282268.728437971</v>
      </c>
      <c r="AB95" s="15">
        <f t="shared" si="36"/>
        <v>-7572201.9215620309</v>
      </c>
      <c r="AC95" s="15">
        <f>AC87-AC90</f>
        <v>13675074.274529647</v>
      </c>
      <c r="AD95" s="15">
        <f>AD87-AD90</f>
        <v>13675074.274529647</v>
      </c>
      <c r="AE95" s="15">
        <f>AE87-AE90</f>
        <v>13675074.274529647</v>
      </c>
      <c r="AF95" s="15">
        <f>AF87-AF90</f>
        <v>287176559.76512253</v>
      </c>
    </row>
    <row r="96" spans="1:32" s="1" customFormat="1" ht="13.5" x14ac:dyDescent="0.25">
      <c r="A96" s="17" t="s">
        <v>217</v>
      </c>
      <c r="B96" s="366">
        <f>B64</f>
        <v>0.05</v>
      </c>
    </row>
    <row r="97" spans="1:33" s="1" customFormat="1" ht="27" x14ac:dyDescent="0.25">
      <c r="A97" s="333" t="s">
        <v>229</v>
      </c>
      <c r="B97" s="334">
        <f>IRR($C95:$AF95,$C97)</f>
        <v>2.3003522356944694E-2</v>
      </c>
    </row>
    <row r="98" spans="1:33" s="1" customFormat="1" ht="27" x14ac:dyDescent="0.25">
      <c r="A98" s="288" t="s">
        <v>230</v>
      </c>
      <c r="B98" s="304">
        <f>C95+NPV($C$17,D95:AF95)</f>
        <v>-100678025.58434643</v>
      </c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</row>
    <row r="99" spans="1:33" s="1" customFormat="1" ht="27" x14ac:dyDescent="0.25">
      <c r="A99" s="288" t="s">
        <v>229</v>
      </c>
      <c r="B99" s="336" t="s">
        <v>220</v>
      </c>
      <c r="C99" s="104"/>
      <c r="D99" s="104"/>
      <c r="E99" s="104"/>
      <c r="F99" s="104"/>
    </row>
    <row r="100" spans="1:33" s="12" customFormat="1" x14ac:dyDescent="0.2">
      <c r="B100" s="251"/>
    </row>
    <row r="101" spans="1:33" ht="16.5" x14ac:dyDescent="0.3">
      <c r="A101" s="233" t="s">
        <v>423</v>
      </c>
      <c r="B101" s="344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5"/>
    </row>
    <row r="102" spans="1:33" s="199" customFormat="1" ht="12.75" customHeight="1" x14ac:dyDescent="0.25">
      <c r="A102" s="467"/>
      <c r="B102" s="471" t="s">
        <v>231</v>
      </c>
      <c r="C102" s="472"/>
      <c r="D102" s="472"/>
      <c r="E102" s="472"/>
      <c r="F102" s="472"/>
      <c r="G102" s="473"/>
      <c r="H102" s="455" t="s">
        <v>55</v>
      </c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7"/>
    </row>
    <row r="103" spans="1:33" s="199" customFormat="1" ht="13.5" x14ac:dyDescent="0.25">
      <c r="A103" s="467"/>
      <c r="B103" s="19">
        <f t="shared" ref="B103:AE103" si="37">C86</f>
        <v>2015</v>
      </c>
      <c r="C103" s="19">
        <f t="shared" si="37"/>
        <v>2016</v>
      </c>
      <c r="D103" s="19">
        <f t="shared" si="37"/>
        <v>2017</v>
      </c>
      <c r="E103" s="19">
        <f t="shared" si="37"/>
        <v>2018</v>
      </c>
      <c r="F103" s="19">
        <f t="shared" si="37"/>
        <v>2019</v>
      </c>
      <c r="G103" s="19">
        <f t="shared" si="37"/>
        <v>2020</v>
      </c>
      <c r="H103" s="19">
        <f t="shared" si="37"/>
        <v>2021</v>
      </c>
      <c r="I103" s="19">
        <f t="shared" si="37"/>
        <v>2022</v>
      </c>
      <c r="J103" s="19">
        <f t="shared" si="37"/>
        <v>2023</v>
      </c>
      <c r="K103" s="19">
        <f t="shared" si="37"/>
        <v>2024</v>
      </c>
      <c r="L103" s="19">
        <f t="shared" si="37"/>
        <v>2025</v>
      </c>
      <c r="M103" s="19">
        <f t="shared" si="37"/>
        <v>2026</v>
      </c>
      <c r="N103" s="19">
        <f t="shared" si="37"/>
        <v>2027</v>
      </c>
      <c r="O103" s="19">
        <f t="shared" si="37"/>
        <v>2028</v>
      </c>
      <c r="P103" s="19">
        <f t="shared" si="37"/>
        <v>2029</v>
      </c>
      <c r="Q103" s="19">
        <f t="shared" si="37"/>
        <v>2030</v>
      </c>
      <c r="R103" s="19">
        <f t="shared" si="37"/>
        <v>2031</v>
      </c>
      <c r="S103" s="19">
        <f t="shared" si="37"/>
        <v>2032</v>
      </c>
      <c r="T103" s="19">
        <f t="shared" si="37"/>
        <v>2033</v>
      </c>
      <c r="U103" s="19">
        <f t="shared" si="37"/>
        <v>2034</v>
      </c>
      <c r="V103" s="19">
        <f t="shared" si="37"/>
        <v>2035</v>
      </c>
      <c r="W103" s="19">
        <f t="shared" si="37"/>
        <v>2036</v>
      </c>
      <c r="X103" s="19">
        <f t="shared" si="37"/>
        <v>2037</v>
      </c>
      <c r="Y103" s="19">
        <f t="shared" si="37"/>
        <v>2038</v>
      </c>
      <c r="Z103" s="19">
        <f t="shared" si="37"/>
        <v>2039</v>
      </c>
      <c r="AA103" s="19">
        <f t="shared" si="37"/>
        <v>2040</v>
      </c>
      <c r="AB103" s="19">
        <f t="shared" si="37"/>
        <v>2041</v>
      </c>
      <c r="AC103" s="19">
        <f t="shared" si="37"/>
        <v>2042</v>
      </c>
      <c r="AD103" s="19">
        <f t="shared" si="37"/>
        <v>2043</v>
      </c>
      <c r="AE103" s="19">
        <f t="shared" si="37"/>
        <v>2044</v>
      </c>
      <c r="AF103" s="346"/>
    </row>
    <row r="104" spans="1:33" s="199" customFormat="1" ht="13.5" x14ac:dyDescent="0.25">
      <c r="A104" s="347" t="s">
        <v>232</v>
      </c>
      <c r="B104" s="131">
        <f>SUM(B105:B107)</f>
        <v>0</v>
      </c>
      <c r="C104" s="131">
        <f t="shared" ref="C104:AE104" si="38">SUM(C105:C107)</f>
        <v>2128996.1309273541</v>
      </c>
      <c r="D104" s="131">
        <f t="shared" si="38"/>
        <v>2128996.1309273541</v>
      </c>
      <c r="E104" s="131">
        <f t="shared" si="38"/>
        <v>2239450.0909731984</v>
      </c>
      <c r="F104" s="131">
        <f t="shared" si="38"/>
        <v>5111253.0521648526</v>
      </c>
      <c r="G104" s="131">
        <f t="shared" si="38"/>
        <v>8756233.7336773276</v>
      </c>
      <c r="H104" s="131">
        <f t="shared" si="38"/>
        <v>1133993094.5282352</v>
      </c>
      <c r="I104" s="131">
        <f t="shared" si="38"/>
        <v>214149284.5282352</v>
      </c>
      <c r="J104" s="131">
        <f t="shared" si="38"/>
        <v>286063794.5282352</v>
      </c>
      <c r="K104" s="131">
        <f t="shared" si="38"/>
        <v>298814494.5282352</v>
      </c>
      <c r="L104" s="131">
        <f t="shared" si="38"/>
        <v>302274774.5282352</v>
      </c>
      <c r="M104" s="131">
        <f t="shared" si="38"/>
        <v>306072309.5282352</v>
      </c>
      <c r="N104" s="131">
        <f t="shared" si="38"/>
        <v>309023816.5282352</v>
      </c>
      <c r="O104" s="131">
        <f t="shared" si="38"/>
        <v>308605844.5282352</v>
      </c>
      <c r="P104" s="131">
        <f t="shared" si="38"/>
        <v>308605844.5282352</v>
      </c>
      <c r="Q104" s="131">
        <f t="shared" si="38"/>
        <v>308605844.5282352</v>
      </c>
      <c r="R104" s="131">
        <f t="shared" si="38"/>
        <v>309263495.54389125</v>
      </c>
      <c r="S104" s="131">
        <f t="shared" si="38"/>
        <v>309263495.54389125</v>
      </c>
      <c r="T104" s="131">
        <f t="shared" si="38"/>
        <v>309263495.54389125</v>
      </c>
      <c r="U104" s="131">
        <f t="shared" si="38"/>
        <v>309263495.54389125</v>
      </c>
      <c r="V104" s="131">
        <f t="shared" si="38"/>
        <v>308239814.93167269</v>
      </c>
      <c r="W104" s="131">
        <f t="shared" si="38"/>
        <v>306850104.72289169</v>
      </c>
      <c r="X104" s="131">
        <f t="shared" si="38"/>
        <v>309409306.253438</v>
      </c>
      <c r="Y104" s="131">
        <f t="shared" si="38"/>
        <v>309409306.253438</v>
      </c>
      <c r="Z104" s="131">
        <f t="shared" si="38"/>
        <v>309409306.253438</v>
      </c>
      <c r="AA104" s="131">
        <f t="shared" si="38"/>
        <v>309409306.253438</v>
      </c>
      <c r="AB104" s="131">
        <f t="shared" si="38"/>
        <v>309802111.79952967</v>
      </c>
      <c r="AC104" s="131">
        <f t="shared" si="38"/>
        <v>309802111.79952967</v>
      </c>
      <c r="AD104" s="131">
        <f t="shared" si="38"/>
        <v>309802111.79952967</v>
      </c>
      <c r="AE104" s="131">
        <f t="shared" si="38"/>
        <v>532161043.09269464</v>
      </c>
      <c r="AF104" s="348"/>
    </row>
    <row r="105" spans="1:33" s="199" customFormat="1" ht="13.5" x14ac:dyDescent="0.25">
      <c r="A105" s="349" t="s">
        <v>233</v>
      </c>
      <c r="B105" s="301">
        <f>C58*'Wyniki-Analiza wrażliwości'!$C$47</f>
        <v>0</v>
      </c>
      <c r="C105" s="301">
        <f>D58*'Wyniki-Analiza wrażliwości'!$C$47</f>
        <v>2128996.1309273541</v>
      </c>
      <c r="D105" s="301">
        <f>E58*'Wyniki-Analiza wrażliwości'!$C$47</f>
        <v>2128996.1309273541</v>
      </c>
      <c r="E105" s="301">
        <f>F58*'Wyniki-Analiza wrażliwości'!$C$47</f>
        <v>2239450.0909731984</v>
      </c>
      <c r="F105" s="301">
        <f>G58*'Wyniki-Analiza wrażliwości'!$C$47</f>
        <v>5111253.0521648526</v>
      </c>
      <c r="G105" s="301">
        <f>H58*'Wyniki-Analiza wrażliwości'!$C$47</f>
        <v>8756233.7336773276</v>
      </c>
      <c r="H105" s="301">
        <f>I58*'Wyniki-Analiza wrażliwości'!$C$47</f>
        <v>28607570.303235203</v>
      </c>
      <c r="I105" s="301">
        <f>J58*'Wyniki-Analiza wrażliwości'!$C$47</f>
        <v>28607570.303235203</v>
      </c>
      <c r="J105" s="301">
        <f>K58*'Wyniki-Analiza wrażliwości'!$C$47</f>
        <v>28607570.303235203</v>
      </c>
      <c r="K105" s="301">
        <f>L58*'Wyniki-Analiza wrażliwości'!$C$47</f>
        <v>28607570.303235203</v>
      </c>
      <c r="L105" s="301">
        <f>M58*'Wyniki-Analiza wrażliwości'!$C$47</f>
        <v>28607570.303235203</v>
      </c>
      <c r="M105" s="301">
        <f>N58*'Wyniki-Analiza wrażliwości'!$C$47</f>
        <v>28607570.303235203</v>
      </c>
      <c r="N105" s="301">
        <f>O58*'Wyniki-Analiza wrażliwości'!$C$47</f>
        <v>28607570.303235203</v>
      </c>
      <c r="O105" s="301">
        <f>P58*'Wyniki-Analiza wrażliwości'!$C$47</f>
        <v>28607570.303235203</v>
      </c>
      <c r="P105" s="301">
        <f>Q58*'Wyniki-Analiza wrażliwości'!$C$47</f>
        <v>28607570.303235203</v>
      </c>
      <c r="Q105" s="301">
        <f>R58*'Wyniki-Analiza wrażliwości'!$C$47</f>
        <v>28607570.303235203</v>
      </c>
      <c r="R105" s="301">
        <f>S58*'Wyniki-Analiza wrażliwości'!$C$47</f>
        <v>29265221.318891227</v>
      </c>
      <c r="S105" s="301">
        <f>T58*'Wyniki-Analiza wrażliwości'!$C$47</f>
        <v>29265221.318891227</v>
      </c>
      <c r="T105" s="301">
        <f>U58*'Wyniki-Analiza wrażliwości'!$C$47</f>
        <v>29265221.318891227</v>
      </c>
      <c r="U105" s="301">
        <f>V58*'Wyniki-Analiza wrażliwości'!$C$47</f>
        <v>29265221.318891227</v>
      </c>
      <c r="V105" s="301">
        <f>W58*'Wyniki-Analiza wrażliwości'!$C$47</f>
        <v>28241540.706672698</v>
      </c>
      <c r="W105" s="301">
        <f>X58*'Wyniki-Analiza wrażliwości'!$C$47</f>
        <v>26851830.497891665</v>
      </c>
      <c r="X105" s="301">
        <f>Y58*'Wyniki-Analiza wrażliwości'!$C$47</f>
        <v>29411032.028437972</v>
      </c>
      <c r="Y105" s="301">
        <f>Z58*'Wyniki-Analiza wrażliwości'!$C$47</f>
        <v>29411032.028437972</v>
      </c>
      <c r="Z105" s="301">
        <f>AA58*'Wyniki-Analiza wrażliwości'!$C$47</f>
        <v>29411032.028437972</v>
      </c>
      <c r="AA105" s="301">
        <f>AB58*'Wyniki-Analiza wrażliwości'!$C$47</f>
        <v>29411032.028437972</v>
      </c>
      <c r="AB105" s="301">
        <f>AC58*'Wyniki-Analiza wrażliwości'!$C$47</f>
        <v>29803837.574529648</v>
      </c>
      <c r="AC105" s="301">
        <f>AD58*'Wyniki-Analiza wrażliwości'!$C$47</f>
        <v>29803837.574529648</v>
      </c>
      <c r="AD105" s="301">
        <f>AE58*'Wyniki-Analiza wrażliwości'!$C$47</f>
        <v>29803837.574529648</v>
      </c>
      <c r="AE105" s="301">
        <f>AF58*'Wyniki-Analiza wrażliwości'!$C$47</f>
        <v>29803837.574529648</v>
      </c>
      <c r="AF105" s="350"/>
    </row>
    <row r="106" spans="1:33" s="199" customFormat="1" ht="13.5" x14ac:dyDescent="0.25">
      <c r="A106" s="349" t="s">
        <v>71</v>
      </c>
      <c r="B106" s="301">
        <v>0</v>
      </c>
      <c r="C106" s="301">
        <f t="shared" ref="C106:AD106" si="39">D59</f>
        <v>0</v>
      </c>
      <c r="D106" s="301">
        <f t="shared" si="39"/>
        <v>0</v>
      </c>
      <c r="E106" s="301">
        <f t="shared" si="39"/>
        <v>0</v>
      </c>
      <c r="F106" s="301">
        <f t="shared" si="39"/>
        <v>0</v>
      </c>
      <c r="G106" s="301">
        <f t="shared" si="39"/>
        <v>0</v>
      </c>
      <c r="H106" s="301">
        <f t="shared" si="39"/>
        <v>0</v>
      </c>
      <c r="I106" s="301">
        <f t="shared" si="39"/>
        <v>0</v>
      </c>
      <c r="J106" s="301">
        <f t="shared" si="39"/>
        <v>0</v>
      </c>
      <c r="K106" s="301">
        <f t="shared" si="39"/>
        <v>0</v>
      </c>
      <c r="L106" s="301">
        <f t="shared" si="39"/>
        <v>0</v>
      </c>
      <c r="M106" s="301">
        <f t="shared" si="39"/>
        <v>0</v>
      </c>
      <c r="N106" s="301">
        <f t="shared" si="39"/>
        <v>0</v>
      </c>
      <c r="O106" s="301">
        <f t="shared" si="39"/>
        <v>0</v>
      </c>
      <c r="P106" s="301">
        <f t="shared" si="39"/>
        <v>0</v>
      </c>
      <c r="Q106" s="301">
        <f t="shared" si="39"/>
        <v>0</v>
      </c>
      <c r="R106" s="301">
        <f t="shared" si="39"/>
        <v>0</v>
      </c>
      <c r="S106" s="301">
        <f t="shared" si="39"/>
        <v>0</v>
      </c>
      <c r="T106" s="301">
        <f t="shared" si="39"/>
        <v>0</v>
      </c>
      <c r="U106" s="301">
        <f t="shared" si="39"/>
        <v>0</v>
      </c>
      <c r="V106" s="301">
        <f t="shared" si="39"/>
        <v>0</v>
      </c>
      <c r="W106" s="301">
        <f t="shared" si="39"/>
        <v>0</v>
      </c>
      <c r="X106" s="301">
        <f t="shared" si="39"/>
        <v>0</v>
      </c>
      <c r="Y106" s="301">
        <f t="shared" si="39"/>
        <v>0</v>
      </c>
      <c r="Z106" s="301">
        <f t="shared" si="39"/>
        <v>0</v>
      </c>
      <c r="AA106" s="301">
        <f t="shared" si="39"/>
        <v>0</v>
      </c>
      <c r="AB106" s="301">
        <f t="shared" si="39"/>
        <v>0</v>
      </c>
      <c r="AC106" s="301">
        <f t="shared" si="39"/>
        <v>0</v>
      </c>
      <c r="AD106" s="301">
        <f t="shared" si="39"/>
        <v>0</v>
      </c>
      <c r="AE106" s="301">
        <f>(AF59/1.23)</f>
        <v>222358931.29316497</v>
      </c>
      <c r="AF106" s="350"/>
    </row>
    <row r="107" spans="1:33" s="199" customFormat="1" ht="27" x14ac:dyDescent="0.25">
      <c r="A107" s="349" t="s">
        <v>234</v>
      </c>
      <c r="B107" s="301">
        <v>0</v>
      </c>
      <c r="C107" s="301">
        <v>0</v>
      </c>
      <c r="D107" s="301">
        <v>0</v>
      </c>
      <c r="E107" s="301">
        <v>0</v>
      </c>
      <c r="F107" s="301">
        <v>0</v>
      </c>
      <c r="G107" s="301">
        <v>0</v>
      </c>
      <c r="H107" s="301">
        <f>'Obliczenia-AE'!B30</f>
        <v>1105385524.2249999</v>
      </c>
      <c r="I107" s="301">
        <f>'Obliczenia-AE'!C30</f>
        <v>185541714.22499999</v>
      </c>
      <c r="J107" s="301">
        <f>'Obliczenia-AE'!D30</f>
        <v>257456224.22499999</v>
      </c>
      <c r="K107" s="301">
        <f>'Obliczenia-AE'!E30</f>
        <v>270206924.22500002</v>
      </c>
      <c r="L107" s="301">
        <f>'Obliczenia-AE'!F30</f>
        <v>273667204.22500002</v>
      </c>
      <c r="M107" s="301">
        <f>'Obliczenia-AE'!G30</f>
        <v>277464739.22500002</v>
      </c>
      <c r="N107" s="301">
        <f>'Obliczenia-AE'!H30</f>
        <v>280416246.22500002</v>
      </c>
      <c r="O107" s="301">
        <f>'Obliczenia-AE'!I30</f>
        <v>279998274.22500002</v>
      </c>
      <c r="P107" s="301">
        <f>'Obliczenia-AE'!J30</f>
        <v>279998274.22500002</v>
      </c>
      <c r="Q107" s="301">
        <f>'Obliczenia-AE'!K30</f>
        <v>279998274.22500002</v>
      </c>
      <c r="R107" s="301">
        <f>'Obliczenia-AE'!L30</f>
        <v>279998274.22500002</v>
      </c>
      <c r="S107" s="301">
        <f>'Obliczenia-AE'!M30</f>
        <v>279998274.22500002</v>
      </c>
      <c r="T107" s="301">
        <f>'Obliczenia-AE'!N30</f>
        <v>279998274.22500002</v>
      </c>
      <c r="U107" s="301">
        <f>'Obliczenia-AE'!O30</f>
        <v>279998274.22500002</v>
      </c>
      <c r="V107" s="301">
        <f>'Obliczenia-AE'!P30</f>
        <v>279998274.22500002</v>
      </c>
      <c r="W107" s="301">
        <f>'Obliczenia-AE'!Q30</f>
        <v>279998274.22500002</v>
      </c>
      <c r="X107" s="301">
        <f>'Obliczenia-AE'!R30</f>
        <v>279998274.22500002</v>
      </c>
      <c r="Y107" s="301">
        <f>'Obliczenia-AE'!S30</f>
        <v>279998274.22500002</v>
      </c>
      <c r="Z107" s="301">
        <f>'Obliczenia-AE'!T30</f>
        <v>279998274.22500002</v>
      </c>
      <c r="AA107" s="301">
        <f>'Obliczenia-AE'!U30</f>
        <v>279998274.22500002</v>
      </c>
      <c r="AB107" s="301">
        <f>'Obliczenia-AE'!V30</f>
        <v>279998274.22500002</v>
      </c>
      <c r="AC107" s="301">
        <f>'Obliczenia-AE'!W30</f>
        <v>279998274.22500002</v>
      </c>
      <c r="AD107" s="301">
        <f>'Obliczenia-AE'!X30</f>
        <v>279998274.22500002</v>
      </c>
      <c r="AE107" s="301">
        <f>'Obliczenia-AE'!Y30</f>
        <v>279998274.22500002</v>
      </c>
      <c r="AF107" s="350"/>
    </row>
    <row r="108" spans="1:33" s="199" customFormat="1" ht="13.5" x14ac:dyDescent="0.25">
      <c r="A108" s="347" t="s">
        <v>235</v>
      </c>
      <c r="B108" s="304">
        <f>SUM(B109:B110)</f>
        <v>13373500</v>
      </c>
      <c r="C108" s="304">
        <f t="shared" ref="C108:AE108" si="40">SUM(C109:C110)</f>
        <v>68975959.34959349</v>
      </c>
      <c r="D108" s="304">
        <f t="shared" si="40"/>
        <v>158852010</v>
      </c>
      <c r="E108" s="304">
        <f t="shared" si="40"/>
        <v>108609987.09999999</v>
      </c>
      <c r="F108" s="304">
        <f t="shared" si="40"/>
        <v>101385482.47</v>
      </c>
      <c r="G108" s="304">
        <f t="shared" si="40"/>
        <v>52743613.420000002</v>
      </c>
      <c r="H108" s="304">
        <f t="shared" si="40"/>
        <v>294000</v>
      </c>
      <c r="I108" s="304">
        <f t="shared" si="40"/>
        <v>6288824.3000000007</v>
      </c>
      <c r="J108" s="304">
        <f t="shared" si="40"/>
        <v>6288824.3000000007</v>
      </c>
      <c r="K108" s="304">
        <f t="shared" si="40"/>
        <v>6288824.3000000007</v>
      </c>
      <c r="L108" s="304">
        <f t="shared" si="40"/>
        <v>6288824.3000000007</v>
      </c>
      <c r="M108" s="304">
        <f t="shared" si="40"/>
        <v>6288824.3000000007</v>
      </c>
      <c r="N108" s="304">
        <f t="shared" si="40"/>
        <v>6288824.3000000007</v>
      </c>
      <c r="O108" s="304">
        <f t="shared" si="40"/>
        <v>6288824.3000000007</v>
      </c>
      <c r="P108" s="304">
        <f t="shared" si="40"/>
        <v>6288824.3000000007</v>
      </c>
      <c r="Q108" s="304">
        <f t="shared" si="40"/>
        <v>27143294.949999999</v>
      </c>
      <c r="R108" s="304">
        <f t="shared" si="40"/>
        <v>6288824.3000000007</v>
      </c>
      <c r="S108" s="304">
        <f t="shared" si="40"/>
        <v>6288824.3000000017</v>
      </c>
      <c r="T108" s="304">
        <f t="shared" si="40"/>
        <v>6288824.3000000017</v>
      </c>
      <c r="U108" s="304">
        <f t="shared" si="40"/>
        <v>6288824.3000000017</v>
      </c>
      <c r="V108" s="304">
        <f t="shared" si="40"/>
        <v>27143294.949999999</v>
      </c>
      <c r="W108" s="304">
        <f t="shared" si="40"/>
        <v>48288824.300000004</v>
      </c>
      <c r="X108" s="304">
        <f t="shared" si="40"/>
        <v>6288824.3000000007</v>
      </c>
      <c r="Y108" s="304">
        <f t="shared" si="40"/>
        <v>6288824.3000000007</v>
      </c>
      <c r="Z108" s="304">
        <f t="shared" si="40"/>
        <v>6288824.3000000007</v>
      </c>
      <c r="AA108" s="304">
        <f t="shared" si="40"/>
        <v>27143294.949999999</v>
      </c>
      <c r="AB108" s="304">
        <f t="shared" si="40"/>
        <v>6288824.3000000007</v>
      </c>
      <c r="AC108" s="304">
        <f t="shared" si="40"/>
        <v>6288824.3000000007</v>
      </c>
      <c r="AD108" s="304">
        <f t="shared" si="40"/>
        <v>6288824.3000000007</v>
      </c>
      <c r="AE108" s="304">
        <f t="shared" si="40"/>
        <v>6288824.3000000007</v>
      </c>
      <c r="AF108" s="351"/>
    </row>
    <row r="109" spans="1:33" s="199" customFormat="1" ht="27" x14ac:dyDescent="0.25">
      <c r="A109" s="349" t="s">
        <v>236</v>
      </c>
      <c r="B109" s="301">
        <f>(B52/1.23)*'Wyniki-Analiza wrażliwości'!$C$46</f>
        <v>13373500</v>
      </c>
      <c r="C109" s="301">
        <f>(C52/1.23)*'Wyniki-Analiza wrażliwości'!$C$46</f>
        <v>68975959.34959349</v>
      </c>
      <c r="D109" s="301">
        <f t="shared" ref="D109:N109" si="41">E62</f>
        <v>158558010</v>
      </c>
      <c r="E109" s="301">
        <f t="shared" si="41"/>
        <v>108315987.09999999</v>
      </c>
      <c r="F109" s="301">
        <f t="shared" si="41"/>
        <v>101091482.47</v>
      </c>
      <c r="G109" s="301">
        <f t="shared" si="41"/>
        <v>52449613.420000002</v>
      </c>
      <c r="H109" s="301">
        <f t="shared" si="41"/>
        <v>0</v>
      </c>
      <c r="I109" s="301">
        <f t="shared" si="41"/>
        <v>0</v>
      </c>
      <c r="J109" s="301">
        <f t="shared" si="41"/>
        <v>0</v>
      </c>
      <c r="K109" s="301">
        <f t="shared" si="41"/>
        <v>0</v>
      </c>
      <c r="L109" s="301">
        <f t="shared" si="41"/>
        <v>0</v>
      </c>
      <c r="M109" s="301">
        <f t="shared" si="41"/>
        <v>0</v>
      </c>
      <c r="N109" s="301">
        <f t="shared" si="41"/>
        <v>0</v>
      </c>
      <c r="O109" s="301">
        <f>P62/1.23</f>
        <v>0</v>
      </c>
      <c r="P109" s="301">
        <f t="shared" ref="P109:X109" si="42">Q62</f>
        <v>0</v>
      </c>
      <c r="Q109" s="301">
        <f t="shared" si="42"/>
        <v>20854470.649999999</v>
      </c>
      <c r="R109" s="301">
        <f t="shared" si="42"/>
        <v>0</v>
      </c>
      <c r="S109" s="301">
        <f t="shared" si="42"/>
        <v>0</v>
      </c>
      <c r="T109" s="301">
        <f t="shared" si="42"/>
        <v>0</v>
      </c>
      <c r="U109" s="301">
        <f t="shared" si="42"/>
        <v>0</v>
      </c>
      <c r="V109" s="301">
        <f t="shared" si="42"/>
        <v>20854470.649999999</v>
      </c>
      <c r="W109" s="301">
        <f t="shared" si="42"/>
        <v>42000000</v>
      </c>
      <c r="X109" s="301">
        <f t="shared" si="42"/>
        <v>0</v>
      </c>
      <c r="Y109" s="301">
        <f>Z62/1.23</f>
        <v>0</v>
      </c>
      <c r="Z109" s="301">
        <f t="shared" ref="Z109:AE109" si="43">AA62</f>
        <v>0</v>
      </c>
      <c r="AA109" s="301">
        <f t="shared" si="43"/>
        <v>20854470.649999999</v>
      </c>
      <c r="AB109" s="301">
        <f t="shared" si="43"/>
        <v>0</v>
      </c>
      <c r="AC109" s="301">
        <f t="shared" si="43"/>
        <v>0</v>
      </c>
      <c r="AD109" s="301">
        <f t="shared" si="43"/>
        <v>0</v>
      </c>
      <c r="AE109" s="301">
        <f t="shared" si="43"/>
        <v>0</v>
      </c>
      <c r="AF109" s="348"/>
    </row>
    <row r="110" spans="1:33" s="199" customFormat="1" ht="27" x14ac:dyDescent="0.25">
      <c r="A110" s="349" t="s">
        <v>237</v>
      </c>
      <c r="B110" s="301">
        <f>('Obliczenia-AF'!C225-'Obliczenia-AF'!C217-'Obliczenia-AF'!C222)*'Wyniki-Analiza wrażliwości'!$C$49</f>
        <v>0</v>
      </c>
      <c r="C110" s="301">
        <f>('Obliczenia-AF'!D225-'Obliczenia-AF'!D217-'Obliczenia-AF'!D222)*'Wyniki-Analiza wrażliwości'!$C$49</f>
        <v>0</v>
      </c>
      <c r="D110" s="301">
        <f>('Obliczenia-AF'!E225-'Obliczenia-AF'!E217-'Obliczenia-AF'!E222)*'Wyniki-Analiza wrażliwości'!$C$49</f>
        <v>294000</v>
      </c>
      <c r="E110" s="301">
        <f>('Obliczenia-AF'!F225-'Obliczenia-AF'!F217-'Obliczenia-AF'!F222)*'Wyniki-Analiza wrażliwości'!$C$49</f>
        <v>294000</v>
      </c>
      <c r="F110" s="301">
        <f>('Obliczenia-AF'!G225-'Obliczenia-AF'!G217-'Obliczenia-AF'!G222)*'Wyniki-Analiza wrażliwości'!$C$49</f>
        <v>294000</v>
      </c>
      <c r="G110" s="301">
        <f>('Obliczenia-AF'!H225-'Obliczenia-AF'!H217-'Obliczenia-AF'!H222)*'Wyniki-Analiza wrażliwości'!$C$49</f>
        <v>294000</v>
      </c>
      <c r="H110" s="301">
        <f>('Obliczenia-AF'!I225-'Obliczenia-AF'!I217-'Obliczenia-AF'!I222)*'Wyniki-Analiza wrażliwości'!$C$49</f>
        <v>294000</v>
      </c>
      <c r="I110" s="301">
        <f>('Obliczenia-AF'!J225-'Obliczenia-AF'!J217-'Obliczenia-AF'!J222)*'Wyniki-Analiza wrażliwości'!$C$49</f>
        <v>6288824.3000000007</v>
      </c>
      <c r="J110" s="301">
        <f>('Obliczenia-AF'!K225-'Obliczenia-AF'!K217-'Obliczenia-AF'!K222)*'Wyniki-Analiza wrażliwości'!$C$49</f>
        <v>6288824.3000000007</v>
      </c>
      <c r="K110" s="301">
        <f>('Obliczenia-AF'!L225-'Obliczenia-AF'!L217-'Obliczenia-AF'!L222)*'Wyniki-Analiza wrażliwości'!$C$49</f>
        <v>6288824.3000000007</v>
      </c>
      <c r="L110" s="301">
        <f>('Obliczenia-AF'!M225-'Obliczenia-AF'!M217-'Obliczenia-AF'!M222)*'Wyniki-Analiza wrażliwości'!$C$49</f>
        <v>6288824.3000000007</v>
      </c>
      <c r="M110" s="301">
        <f>('Obliczenia-AF'!N225-'Obliczenia-AF'!N217-'Obliczenia-AF'!N222)*'Wyniki-Analiza wrażliwości'!$C$49</f>
        <v>6288824.3000000007</v>
      </c>
      <c r="N110" s="301">
        <f>('Obliczenia-AF'!O225-'Obliczenia-AF'!O217-'Obliczenia-AF'!O222)*'Wyniki-Analiza wrażliwości'!$C$49</f>
        <v>6288824.3000000007</v>
      </c>
      <c r="O110" s="301">
        <f>('Obliczenia-AF'!P225-'Obliczenia-AF'!P217-'Obliczenia-AF'!P222)*'Wyniki-Analiza wrażliwości'!$C$49</f>
        <v>6288824.3000000007</v>
      </c>
      <c r="P110" s="301">
        <f>('Obliczenia-AF'!Q225-'Obliczenia-AF'!Q217-'Obliczenia-AF'!Q222)*'Wyniki-Analiza wrażliwości'!$C$49</f>
        <v>6288824.3000000007</v>
      </c>
      <c r="Q110" s="301">
        <f>('Obliczenia-AF'!R225-'Obliczenia-AF'!R217-'Obliczenia-AF'!R222)*'Wyniki-Analiza wrażliwości'!$C$49</f>
        <v>6288824.3000000007</v>
      </c>
      <c r="R110" s="301">
        <f>('Obliczenia-AF'!S225-'Obliczenia-AF'!S217-'Obliczenia-AF'!S222)*'Wyniki-Analiza wrażliwości'!$C$49</f>
        <v>6288824.3000000007</v>
      </c>
      <c r="S110" s="301">
        <f>('Obliczenia-AF'!T225-'Obliczenia-AF'!T217-'Obliczenia-AF'!T222)*'Wyniki-Analiza wrażliwości'!$C$49</f>
        <v>6288824.3000000017</v>
      </c>
      <c r="T110" s="301">
        <f>('Obliczenia-AF'!U225-'Obliczenia-AF'!U217-'Obliczenia-AF'!U222)*'Wyniki-Analiza wrażliwości'!$C$49</f>
        <v>6288824.3000000017</v>
      </c>
      <c r="U110" s="301">
        <f>('Obliczenia-AF'!V225-'Obliczenia-AF'!V217-'Obliczenia-AF'!V222)*'Wyniki-Analiza wrażliwości'!$C$49</f>
        <v>6288824.3000000017</v>
      </c>
      <c r="V110" s="301">
        <f>('Obliczenia-AF'!W225-'Obliczenia-AF'!W217-'Obliczenia-AF'!W222)*'Wyniki-Analiza wrażliwości'!$C$49</f>
        <v>6288824.3000000017</v>
      </c>
      <c r="W110" s="301">
        <f>('Obliczenia-AF'!X225-'Obliczenia-AF'!X217-'Obliczenia-AF'!X222)*'Wyniki-Analiza wrażliwości'!$C$49</f>
        <v>6288824.3000000017</v>
      </c>
      <c r="X110" s="301">
        <f>('Obliczenia-AF'!Y225-'Obliczenia-AF'!Y217-'Obliczenia-AF'!Y222)*'Wyniki-Analiza wrażliwości'!$C$49</f>
        <v>6288824.3000000007</v>
      </c>
      <c r="Y110" s="301">
        <f>('Obliczenia-AF'!Z225-'Obliczenia-AF'!Z217-'Obliczenia-AF'!Z222)*'Wyniki-Analiza wrażliwości'!$C$49</f>
        <v>6288824.3000000007</v>
      </c>
      <c r="Z110" s="301">
        <f>('Obliczenia-AF'!AA225-'Obliczenia-AF'!AA217-'Obliczenia-AF'!AA222)*'Wyniki-Analiza wrażliwości'!$C$49</f>
        <v>6288824.3000000007</v>
      </c>
      <c r="AA110" s="301">
        <f>('Obliczenia-AF'!AB225-'Obliczenia-AF'!AB217-'Obliczenia-AF'!AB222)*'Wyniki-Analiza wrażliwości'!$C$49</f>
        <v>6288824.3000000007</v>
      </c>
      <c r="AB110" s="301">
        <f>('Obliczenia-AF'!AC225-'Obliczenia-AF'!AC217-'Obliczenia-AF'!AC222)*'Wyniki-Analiza wrażliwości'!$C$49</f>
        <v>6288824.3000000007</v>
      </c>
      <c r="AC110" s="301">
        <f>('Obliczenia-AF'!AD225-'Obliczenia-AF'!AD217-'Obliczenia-AF'!AD222)*'Wyniki-Analiza wrażliwości'!$C$49</f>
        <v>6288824.3000000007</v>
      </c>
      <c r="AD110" s="301">
        <f>('Obliczenia-AF'!AE225-'Obliczenia-AF'!AE217-'Obliczenia-AF'!AE222)*'Wyniki-Analiza wrażliwości'!$C$49</f>
        <v>6288824.3000000007</v>
      </c>
      <c r="AE110" s="301">
        <f>('Obliczenia-AF'!AF225-'Obliczenia-AF'!AF217-'Obliczenia-AF'!AF222)*'Wyniki-Analiza wrażliwości'!$C$49</f>
        <v>6288824.3000000007</v>
      </c>
      <c r="AF110" s="350"/>
    </row>
    <row r="111" spans="1:33" s="199" customFormat="1" ht="13.5" x14ac:dyDescent="0.25">
      <c r="A111" s="347" t="s">
        <v>238</v>
      </c>
      <c r="B111" s="304">
        <f>B104-B108</f>
        <v>-13373500</v>
      </c>
      <c r="C111" s="304">
        <f t="shared" ref="C111:AE111" si="44">C104-C108</f>
        <v>-66846963.218666136</v>
      </c>
      <c r="D111" s="304">
        <f t="shared" si="44"/>
        <v>-156723013.86907265</v>
      </c>
      <c r="E111" s="304">
        <f t="shared" si="44"/>
        <v>-106370537.0090268</v>
      </c>
      <c r="F111" s="304">
        <f t="shared" si="44"/>
        <v>-96274229.417835146</v>
      </c>
      <c r="G111" s="304">
        <f t="shared" si="44"/>
        <v>-43987379.686322674</v>
      </c>
      <c r="H111" s="304">
        <f t="shared" si="44"/>
        <v>1133699094.5282352</v>
      </c>
      <c r="I111" s="304">
        <f t="shared" si="44"/>
        <v>207860460.22823519</v>
      </c>
      <c r="J111" s="304">
        <f t="shared" si="44"/>
        <v>279774970.22823519</v>
      </c>
      <c r="K111" s="304">
        <f t="shared" si="44"/>
        <v>292525670.22823519</v>
      </c>
      <c r="L111" s="304">
        <f t="shared" si="44"/>
        <v>295985950.22823519</v>
      </c>
      <c r="M111" s="304">
        <f t="shared" si="44"/>
        <v>299783485.22823519</v>
      </c>
      <c r="N111" s="304">
        <f t="shared" si="44"/>
        <v>302734992.22823519</v>
      </c>
      <c r="O111" s="304">
        <f t="shared" si="44"/>
        <v>302317020.22823519</v>
      </c>
      <c r="P111" s="304">
        <f t="shared" si="44"/>
        <v>302317020.22823519</v>
      </c>
      <c r="Q111" s="304">
        <f t="shared" si="44"/>
        <v>281462549.57823521</v>
      </c>
      <c r="R111" s="304">
        <f t="shared" si="44"/>
        <v>302974671.24389124</v>
      </c>
      <c r="S111" s="304">
        <f t="shared" si="44"/>
        <v>302974671.24389124</v>
      </c>
      <c r="T111" s="304">
        <f t="shared" si="44"/>
        <v>302974671.24389124</v>
      </c>
      <c r="U111" s="304">
        <f t="shared" si="44"/>
        <v>302974671.24389124</v>
      </c>
      <c r="V111" s="304">
        <f t="shared" si="44"/>
        <v>281096519.9816727</v>
      </c>
      <c r="W111" s="304">
        <f t="shared" si="44"/>
        <v>258561280.42289168</v>
      </c>
      <c r="X111" s="304">
        <f t="shared" si="44"/>
        <v>303120481.95343798</v>
      </c>
      <c r="Y111" s="304">
        <f t="shared" si="44"/>
        <v>303120481.95343798</v>
      </c>
      <c r="Z111" s="304">
        <f t="shared" si="44"/>
        <v>303120481.95343798</v>
      </c>
      <c r="AA111" s="304">
        <f t="shared" si="44"/>
        <v>282266011.30343801</v>
      </c>
      <c r="AB111" s="304">
        <f t="shared" si="44"/>
        <v>303513287.49952966</v>
      </c>
      <c r="AC111" s="304">
        <f t="shared" si="44"/>
        <v>303513287.49952966</v>
      </c>
      <c r="AD111" s="304">
        <f t="shared" si="44"/>
        <v>303513287.49952966</v>
      </c>
      <c r="AE111" s="304">
        <f t="shared" si="44"/>
        <v>525872218.79269463</v>
      </c>
      <c r="AF111" s="351"/>
    </row>
    <row r="112" spans="1:33" s="199" customFormat="1" ht="27" x14ac:dyDescent="0.25">
      <c r="A112" s="16" t="s">
        <v>239</v>
      </c>
      <c r="B112" s="130">
        <f>B111</f>
        <v>-13373500</v>
      </c>
      <c r="C112" s="130">
        <f>B112+C111</f>
        <v>-80220463.218666136</v>
      </c>
      <c r="D112" s="130">
        <f t="shared" ref="D112:AE112" si="45">C112+D111</f>
        <v>-236943477.08773878</v>
      </c>
      <c r="E112" s="130">
        <f t="shared" si="45"/>
        <v>-343314014.09676558</v>
      </c>
      <c r="F112" s="130">
        <f t="shared" si="45"/>
        <v>-439588243.51460075</v>
      </c>
      <c r="G112" s="130">
        <f t="shared" si="45"/>
        <v>-483575623.20092344</v>
      </c>
      <c r="H112" s="130">
        <f t="shared" si="45"/>
        <v>650123471.32731175</v>
      </c>
      <c r="I112" s="130">
        <f t="shared" si="45"/>
        <v>857983931.555547</v>
      </c>
      <c r="J112" s="130">
        <f t="shared" si="45"/>
        <v>1137758901.7837822</v>
      </c>
      <c r="K112" s="130">
        <f t="shared" si="45"/>
        <v>1430284572.0120175</v>
      </c>
      <c r="L112" s="130">
        <f t="shared" si="45"/>
        <v>1726270522.2402527</v>
      </c>
      <c r="M112" s="130">
        <f t="shared" si="45"/>
        <v>2026054007.468488</v>
      </c>
      <c r="N112" s="130">
        <f t="shared" si="45"/>
        <v>2328788999.696723</v>
      </c>
      <c r="O112" s="130">
        <f t="shared" si="45"/>
        <v>2631106019.9249582</v>
      </c>
      <c r="P112" s="130">
        <f t="shared" si="45"/>
        <v>2933423040.1531935</v>
      </c>
      <c r="Q112" s="130">
        <f t="shared" si="45"/>
        <v>3214885589.7314286</v>
      </c>
      <c r="R112" s="130">
        <f t="shared" si="45"/>
        <v>3517860260.9753199</v>
      </c>
      <c r="S112" s="130">
        <f t="shared" si="45"/>
        <v>3820834932.2192111</v>
      </c>
      <c r="T112" s="130">
        <f t="shared" si="45"/>
        <v>4123809603.4631023</v>
      </c>
      <c r="U112" s="130">
        <f t="shared" si="45"/>
        <v>4426784274.7069931</v>
      </c>
      <c r="V112" s="130">
        <f t="shared" si="45"/>
        <v>4707880794.6886654</v>
      </c>
      <c r="W112" s="130">
        <f t="shared" si="45"/>
        <v>4966442075.111557</v>
      </c>
      <c r="X112" s="130">
        <f t="shared" si="45"/>
        <v>5269562557.0649948</v>
      </c>
      <c r="Y112" s="130">
        <f t="shared" si="45"/>
        <v>5572683039.0184326</v>
      </c>
      <c r="Z112" s="130">
        <f t="shared" si="45"/>
        <v>5875803520.9718704</v>
      </c>
      <c r="AA112" s="130">
        <f t="shared" si="45"/>
        <v>6158069532.2753086</v>
      </c>
      <c r="AB112" s="130">
        <f t="shared" si="45"/>
        <v>6461582819.7748384</v>
      </c>
      <c r="AC112" s="130">
        <f t="shared" si="45"/>
        <v>6765096107.2743683</v>
      </c>
      <c r="AD112" s="130">
        <f t="shared" si="45"/>
        <v>7068609394.7738981</v>
      </c>
      <c r="AE112" s="130">
        <f t="shared" si="45"/>
        <v>7594481613.5665932</v>
      </c>
      <c r="AF112" s="352"/>
    </row>
    <row r="113" spans="1:33" s="199" customFormat="1" ht="13.5" x14ac:dyDescent="0.25">
      <c r="A113" s="353"/>
      <c r="B113" s="354"/>
      <c r="C113" s="354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51"/>
    </row>
    <row r="114" spans="1:33" s="199" customFormat="1" ht="13.5" x14ac:dyDescent="0.25">
      <c r="A114" s="370" t="s">
        <v>240</v>
      </c>
      <c r="B114" s="380">
        <f>B96</f>
        <v>0.05</v>
      </c>
      <c r="C114" s="354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5"/>
      <c r="W114" s="354"/>
      <c r="X114" s="354"/>
      <c r="Y114" s="354"/>
      <c r="Z114" s="354"/>
      <c r="AA114" s="354"/>
      <c r="AB114" s="354"/>
      <c r="AC114" s="354"/>
      <c r="AD114" s="354"/>
      <c r="AE114" s="51"/>
      <c r="AF114" s="51"/>
    </row>
    <row r="115" spans="1:33" s="199" customFormat="1" ht="13.5" x14ac:dyDescent="0.25">
      <c r="A115" s="371" t="s">
        <v>241</v>
      </c>
      <c r="B115" s="356">
        <f>IRR(B111:AF111,-0.1%)</f>
        <v>0.43207044639646486</v>
      </c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4"/>
      <c r="X115" s="354"/>
      <c r="Y115" s="354"/>
      <c r="Z115" s="354"/>
      <c r="AA115" s="354"/>
      <c r="AB115" s="354"/>
      <c r="AC115" s="354"/>
      <c r="AD115" s="354"/>
      <c r="AE115" s="51"/>
      <c r="AF115" s="51"/>
    </row>
    <row r="116" spans="1:33" s="199" customFormat="1" ht="13.5" x14ac:dyDescent="0.25">
      <c r="A116" s="371" t="s">
        <v>242</v>
      </c>
      <c r="B116" s="131">
        <f>B111+NPV(B114,C111:AF111)</f>
        <v>3387865264.4640656</v>
      </c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4"/>
      <c r="X116" s="354"/>
      <c r="Y116" s="354"/>
      <c r="Z116" s="354"/>
      <c r="AA116" s="354"/>
      <c r="AB116" s="354"/>
      <c r="AC116" s="354"/>
      <c r="AD116" s="354"/>
      <c r="AE116" s="51"/>
      <c r="AF116" s="51"/>
      <c r="AG116" s="51"/>
    </row>
    <row r="117" spans="1:33" ht="13.5" x14ac:dyDescent="0.25">
      <c r="A117" s="371" t="s">
        <v>243</v>
      </c>
      <c r="B117" s="357">
        <f>(B104+NPV(B114,C104:AE104))/(B108+NPV(B114,C108:AE108))</f>
        <v>7.2236918304742437</v>
      </c>
    </row>
  </sheetData>
  <mergeCells count="18">
    <mergeCell ref="A55:J55"/>
    <mergeCell ref="A69:J69"/>
    <mergeCell ref="A102:A103"/>
    <mergeCell ref="A85:J85"/>
    <mergeCell ref="B102:G102"/>
    <mergeCell ref="H102:AE102"/>
    <mergeCell ref="B30:C30"/>
    <mergeCell ref="B15:C15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</mergeCells>
  <pageMargins left="0.59055118110236227" right="0.51181102362204722" top="0.70866141732283472" bottom="0.74803149606299213" header="0.51181102362204722" footer="0.51181102362204722"/>
  <pageSetup paperSize="8" scale="50" orientation="landscape" r:id="rId1"/>
  <headerFooter alignWithMargins="0"/>
  <rowBreaks count="2" manualBreakCount="2">
    <brk id="52" max="33" man="1"/>
    <brk id="100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80"/>
  <sheetViews>
    <sheetView tabSelected="1" topLeftCell="A13" zoomScale="80" zoomScaleNormal="80" workbookViewId="0">
      <selection activeCell="B31" sqref="B31"/>
    </sheetView>
  </sheetViews>
  <sheetFormatPr defaultRowHeight="13.5" x14ac:dyDescent="0.25"/>
  <cols>
    <col min="1" max="1" width="9.140625" style="1"/>
    <col min="2" max="5" width="10.140625" style="1" bestFit="1" customWidth="1"/>
    <col min="6" max="6" width="9.5703125" style="1" customWidth="1"/>
    <col min="7" max="7" width="10.140625" style="1" bestFit="1" customWidth="1"/>
    <col min="8" max="16384" width="9.140625" style="1"/>
  </cols>
  <sheetData>
    <row r="1" spans="1:7" ht="25.5" x14ac:dyDescent="0.25">
      <c r="A1" s="281" t="s">
        <v>357</v>
      </c>
    </row>
    <row r="3" spans="1:7" ht="14.25" thickBot="1" x14ac:dyDescent="0.3">
      <c r="A3" s="387" t="s">
        <v>424</v>
      </c>
    </row>
    <row r="4" spans="1:7" x14ac:dyDescent="0.25">
      <c r="A4" s="388" t="s">
        <v>244</v>
      </c>
      <c r="B4" s="389"/>
      <c r="C4" s="390"/>
      <c r="D4" s="391"/>
      <c r="E4" s="391"/>
      <c r="F4" s="392"/>
      <c r="G4" s="391"/>
    </row>
    <row r="5" spans="1:7" x14ac:dyDescent="0.25">
      <c r="A5" s="476" t="s">
        <v>245</v>
      </c>
      <c r="B5" s="477"/>
      <c r="C5" s="393">
        <v>1</v>
      </c>
      <c r="D5" s="391"/>
      <c r="E5" s="391"/>
      <c r="F5" s="392"/>
      <c r="G5" s="391"/>
    </row>
    <row r="6" spans="1:7" x14ac:dyDescent="0.25">
      <c r="A6" s="478" t="s">
        <v>233</v>
      </c>
      <c r="B6" s="479"/>
      <c r="C6" s="394">
        <v>1</v>
      </c>
      <c r="D6" s="391"/>
      <c r="E6" s="391"/>
      <c r="F6" s="392"/>
      <c r="G6" s="391"/>
    </row>
    <row r="7" spans="1:7" x14ac:dyDescent="0.25">
      <c r="A7" s="478" t="s">
        <v>246</v>
      </c>
      <c r="B7" s="479"/>
      <c r="C7" s="394">
        <v>1</v>
      </c>
      <c r="D7" s="391"/>
      <c r="E7" s="391"/>
      <c r="F7" s="392"/>
      <c r="G7" s="391"/>
    </row>
    <row r="8" spans="1:7" ht="14.25" thickBot="1" x14ac:dyDescent="0.3">
      <c r="A8" s="480" t="s">
        <v>293</v>
      </c>
      <c r="B8" s="481"/>
      <c r="C8" s="395">
        <v>1</v>
      </c>
      <c r="D8" s="391"/>
      <c r="E8" s="391"/>
      <c r="F8" s="392"/>
      <c r="G8" s="391"/>
    </row>
    <row r="9" spans="1:7" ht="14.25" thickBot="1" x14ac:dyDescent="0.3">
      <c r="A9" s="391"/>
      <c r="B9" s="391"/>
      <c r="C9" s="391"/>
      <c r="D9" s="391"/>
      <c r="E9" s="391"/>
      <c r="F9" s="392"/>
      <c r="G9" s="391"/>
    </row>
    <row r="10" spans="1:7" ht="33" customHeight="1" x14ac:dyDescent="0.25">
      <c r="A10" s="482" t="s">
        <v>245</v>
      </c>
      <c r="B10" s="483"/>
      <c r="C10" s="396" t="s">
        <v>247</v>
      </c>
      <c r="D10" s="391"/>
      <c r="E10" s="474" t="str">
        <f>A6</f>
        <v>Przychody operacyjne</v>
      </c>
      <c r="F10" s="475"/>
      <c r="G10" s="397" t="s">
        <v>247</v>
      </c>
    </row>
    <row r="11" spans="1:7" x14ac:dyDescent="0.25">
      <c r="A11" s="398"/>
      <c r="B11" s="399">
        <f>'Wyniki-Luka_FNPV_ENPV   '!B77</f>
        <v>498023033.07597005</v>
      </c>
      <c r="C11" s="400">
        <f>'Wyniki-Luka_FNPV_ENPV   '!B81</f>
        <v>-249773020.54491195</v>
      </c>
      <c r="D11" s="391"/>
      <c r="E11" s="401"/>
      <c r="F11" s="399">
        <f>'Wyniki-Luka_FNPV_ENPV   '!B72</f>
        <v>328881350.70430189</v>
      </c>
      <c r="G11" s="400">
        <f>'Wyniki-Luka_FNPV_ENPV   '!B81</f>
        <v>-249773020.54491195</v>
      </c>
    </row>
    <row r="12" spans="1:7" x14ac:dyDescent="0.25">
      <c r="A12" s="402">
        <v>0.7</v>
      </c>
      <c r="B12" s="403">
        <f t="dataTable" ref="B12:C18" dt2D="0" dtr="0" r1="C5"/>
        <v>348616123.15317899</v>
      </c>
      <c r="C12" s="404">
        <v>-100366110.62212068</v>
      </c>
      <c r="D12" s="391"/>
      <c r="E12" s="402">
        <v>0.7</v>
      </c>
      <c r="F12" s="403">
        <f t="dataTable" ref="F12:G18" dt2D="0" dtr="0" r1="C6" ca="1"/>
        <v>230216945.49301133</v>
      </c>
      <c r="G12" s="405">
        <v>-348437425.75620246</v>
      </c>
    </row>
    <row r="13" spans="1:7" x14ac:dyDescent="0.25">
      <c r="A13" s="402">
        <v>0.8</v>
      </c>
      <c r="B13" s="403">
        <v>398418426.46077609</v>
      </c>
      <c r="C13" s="404">
        <v>-150168413.92971787</v>
      </c>
      <c r="D13" s="391"/>
      <c r="E13" s="402">
        <v>0.8</v>
      </c>
      <c r="F13" s="403">
        <v>263105080.56344157</v>
      </c>
      <c r="G13" s="405">
        <v>-315549290.68577224</v>
      </c>
    </row>
    <row r="14" spans="1:7" x14ac:dyDescent="0.25">
      <c r="A14" s="402">
        <v>0.9</v>
      </c>
      <c r="B14" s="403">
        <v>448220729.76837301</v>
      </c>
      <c r="C14" s="404">
        <v>-199970717.23731485</v>
      </c>
      <c r="D14" s="391"/>
      <c r="E14" s="402">
        <v>0.9</v>
      </c>
      <c r="F14" s="403">
        <v>295993215.63387173</v>
      </c>
      <c r="G14" s="405">
        <v>-282661155.61534208</v>
      </c>
    </row>
    <row r="15" spans="1:7" x14ac:dyDescent="0.25">
      <c r="A15" s="402">
        <v>1</v>
      </c>
      <c r="B15" s="403">
        <v>498023033.07597005</v>
      </c>
      <c r="C15" s="404">
        <v>-249773020.54491195</v>
      </c>
      <c r="D15" s="391"/>
      <c r="E15" s="402">
        <v>1</v>
      </c>
      <c r="F15" s="403">
        <v>328881350.70430189</v>
      </c>
      <c r="G15" s="405">
        <v>-249773020.54491195</v>
      </c>
    </row>
    <row r="16" spans="1:7" x14ac:dyDescent="0.25">
      <c r="A16" s="402">
        <v>1.1000000000000001</v>
      </c>
      <c r="B16" s="403">
        <v>547825336.38356721</v>
      </c>
      <c r="C16" s="404">
        <v>-299575323.8525089</v>
      </c>
      <c r="D16" s="391"/>
      <c r="E16" s="402">
        <v>1.1000000000000001</v>
      </c>
      <c r="F16" s="403">
        <v>361769485.77473217</v>
      </c>
      <c r="G16" s="405">
        <v>-216884885.47448161</v>
      </c>
    </row>
    <row r="17" spans="1:7" x14ac:dyDescent="0.25">
      <c r="A17" s="402">
        <v>1.2</v>
      </c>
      <c r="B17" s="403">
        <v>597627639.69116402</v>
      </c>
      <c r="C17" s="404">
        <v>-349377627.16010576</v>
      </c>
      <c r="D17" s="391"/>
      <c r="E17" s="402">
        <v>1.2</v>
      </c>
      <c r="F17" s="403">
        <v>394657620.84516227</v>
      </c>
      <c r="G17" s="405">
        <v>-183996750.40405142</v>
      </c>
    </row>
    <row r="18" spans="1:7" ht="14.25" thickBot="1" x14ac:dyDescent="0.3">
      <c r="A18" s="406">
        <v>1.3</v>
      </c>
      <c r="B18" s="407">
        <v>647429942.99876118</v>
      </c>
      <c r="C18" s="408">
        <v>-399179930.46770304</v>
      </c>
      <c r="D18" s="391"/>
      <c r="E18" s="406">
        <v>1.3</v>
      </c>
      <c r="F18" s="407">
        <v>427545755.91559249</v>
      </c>
      <c r="G18" s="409">
        <v>-151108615.33362132</v>
      </c>
    </row>
    <row r="19" spans="1:7" ht="14.25" thickBot="1" x14ac:dyDescent="0.3">
      <c r="A19" s="391"/>
      <c r="B19" s="392"/>
      <c r="C19" s="391"/>
      <c r="D19" s="391"/>
      <c r="E19" s="391"/>
      <c r="F19" s="392"/>
      <c r="G19" s="391"/>
    </row>
    <row r="20" spans="1:7" ht="31.5" customHeight="1" x14ac:dyDescent="0.25">
      <c r="A20" s="482" t="str">
        <f>A7</f>
        <v>Koszty operacyjne</v>
      </c>
      <c r="B20" s="483"/>
      <c r="C20" s="396" t="s">
        <v>247</v>
      </c>
      <c r="D20" s="391"/>
      <c r="E20" s="474" t="str">
        <f>A8</f>
        <v xml:space="preserve">Dotacja </v>
      </c>
      <c r="F20" s="475"/>
      <c r="G20" s="396" t="s">
        <v>247</v>
      </c>
    </row>
    <row r="21" spans="1:7" x14ac:dyDescent="0.25">
      <c r="A21" s="410"/>
      <c r="B21" s="399">
        <f>'Wyniki-Luka_FNPV_ENPV   '!B76</f>
        <v>186777792.59974998</v>
      </c>
      <c r="C21" s="400">
        <f>'Wyniki-Luka_FNPV_ENPV   '!B81</f>
        <v>-249773020.54491195</v>
      </c>
      <c r="D21" s="391"/>
      <c r="E21" s="411"/>
      <c r="F21" s="412">
        <f>'Wyniki-Luka_FNPV_ENPV   '!B73</f>
        <v>39700274.714285716</v>
      </c>
      <c r="G21" s="413">
        <f>'Wyniki-Luka_FNPV_ENPV   '!B81</f>
        <v>-249773020.54491195</v>
      </c>
    </row>
    <row r="22" spans="1:7" x14ac:dyDescent="0.25">
      <c r="A22" s="402">
        <v>0.7</v>
      </c>
      <c r="B22" s="403">
        <f t="dataTable" ref="B22:C28" dt2D="0" dtr="0" r1="C7" ca="1"/>
        <v>130744454.81982495</v>
      </c>
      <c r="C22" s="404">
        <v>-193739682.76498666</v>
      </c>
      <c r="D22" s="391"/>
      <c r="E22" s="402">
        <v>0.7</v>
      </c>
      <c r="F22" s="414">
        <f t="dataTable" ref="F22:G28" dt2D="0" dtr="0" r1="C8" ca="1"/>
        <v>27790192.299999997</v>
      </c>
      <c r="G22" s="415">
        <v>-261683102.95919758</v>
      </c>
    </row>
    <row r="23" spans="1:7" x14ac:dyDescent="0.25">
      <c r="A23" s="402">
        <v>0.8</v>
      </c>
      <c r="B23" s="403">
        <v>149422234.07979995</v>
      </c>
      <c r="C23" s="404">
        <v>-212417462.02496186</v>
      </c>
      <c r="D23" s="391"/>
      <c r="E23" s="402">
        <v>0.8</v>
      </c>
      <c r="F23" s="414">
        <v>31760219.771428574</v>
      </c>
      <c r="G23" s="415">
        <v>-257713075.48776904</v>
      </c>
    </row>
    <row r="24" spans="1:7" x14ac:dyDescent="0.25">
      <c r="A24" s="402">
        <v>0.9</v>
      </c>
      <c r="B24" s="403">
        <v>168100013.33977494</v>
      </c>
      <c r="C24" s="404">
        <v>-231095241.28493676</v>
      </c>
      <c r="D24" s="391"/>
      <c r="E24" s="402">
        <v>0.9</v>
      </c>
      <c r="F24" s="414">
        <v>35730247.242857143</v>
      </c>
      <c r="G24" s="415">
        <v>-253743048.01634049</v>
      </c>
    </row>
    <row r="25" spans="1:7" x14ac:dyDescent="0.25">
      <c r="A25" s="402">
        <v>1</v>
      </c>
      <c r="B25" s="403">
        <v>186777792.59974998</v>
      </c>
      <c r="C25" s="404">
        <v>-249773020.54491195</v>
      </c>
      <c r="D25" s="391"/>
      <c r="E25" s="402">
        <v>1</v>
      </c>
      <c r="F25" s="414">
        <v>39700274.714285716</v>
      </c>
      <c r="G25" s="415">
        <v>-249773020.54491195</v>
      </c>
    </row>
    <row r="26" spans="1:7" x14ac:dyDescent="0.25">
      <c r="A26" s="402">
        <v>1.1000000000000001</v>
      </c>
      <c r="B26" s="403">
        <v>205455571.85972494</v>
      </c>
      <c r="C26" s="404">
        <v>-268450799.80488682</v>
      </c>
      <c r="D26" s="391"/>
      <c r="E26" s="402">
        <v>1.1000000000000001</v>
      </c>
      <c r="F26" s="414">
        <v>43670302.18571429</v>
      </c>
      <c r="G26" s="415">
        <v>-245802993.07348329</v>
      </c>
    </row>
    <row r="27" spans="1:7" x14ac:dyDescent="0.25">
      <c r="A27" s="402">
        <v>1.2</v>
      </c>
      <c r="B27" s="403">
        <v>224133351.11969993</v>
      </c>
      <c r="C27" s="404">
        <v>-287128579.06486171</v>
      </c>
      <c r="D27" s="391"/>
      <c r="E27" s="402">
        <v>1.2</v>
      </c>
      <c r="F27" s="414">
        <v>47640329.657142848</v>
      </c>
      <c r="G27" s="415">
        <v>-241832965.60205472</v>
      </c>
    </row>
    <row r="28" spans="1:7" ht="14.25" thickBot="1" x14ac:dyDescent="0.3">
      <c r="A28" s="406">
        <v>1.3</v>
      </c>
      <c r="B28" s="407">
        <v>242811130.37967503</v>
      </c>
      <c r="C28" s="408">
        <v>-305806358.32483679</v>
      </c>
      <c r="D28" s="391"/>
      <c r="E28" s="406">
        <v>1.3</v>
      </c>
      <c r="F28" s="416">
        <v>51610357.128571436</v>
      </c>
      <c r="G28" s="408">
        <v>-237862938.1306262</v>
      </c>
    </row>
    <row r="29" spans="1:7" ht="14.25" thickBot="1" x14ac:dyDescent="0.3">
      <c r="A29" s="391"/>
      <c r="B29" s="391"/>
      <c r="C29" s="391"/>
      <c r="D29" s="391"/>
      <c r="E29" s="391"/>
      <c r="F29" s="392"/>
      <c r="G29" s="391"/>
    </row>
    <row r="30" spans="1:7" ht="117.75" customHeight="1" x14ac:dyDescent="0.25">
      <c r="A30" s="417" t="s">
        <v>248</v>
      </c>
      <c r="B30" s="418" t="str">
        <f>A5</f>
        <v>Nakłady inwestycyjne</v>
      </c>
      <c r="C30" s="418" t="str">
        <f>A6</f>
        <v>Przychody operacyjne</v>
      </c>
      <c r="D30" s="418" t="str">
        <f>A7</f>
        <v>Koszty operacyjne</v>
      </c>
      <c r="E30" s="419" t="str">
        <f>A8</f>
        <v xml:space="preserve">Dotacja </v>
      </c>
      <c r="F30" s="392"/>
      <c r="G30" s="391"/>
    </row>
    <row r="31" spans="1:7" x14ac:dyDescent="0.25">
      <c r="A31" s="420">
        <v>0.7</v>
      </c>
      <c r="B31" s="421">
        <f>C12</f>
        <v>-100366110.62212068</v>
      </c>
      <c r="C31" s="421">
        <f t="shared" ref="C31:C37" si="0">G12</f>
        <v>-348437425.75620246</v>
      </c>
      <c r="D31" s="422">
        <f t="shared" ref="D31:D37" si="1">C22</f>
        <v>-193739682.76498666</v>
      </c>
      <c r="E31" s="423">
        <f t="shared" ref="E31:E37" si="2">G22</f>
        <v>-261683102.95919758</v>
      </c>
      <c r="F31" s="392"/>
      <c r="G31" s="391"/>
    </row>
    <row r="32" spans="1:7" x14ac:dyDescent="0.25">
      <c r="A32" s="424">
        <v>0.8</v>
      </c>
      <c r="B32" s="425">
        <f t="shared" ref="B32:B37" si="3">C13</f>
        <v>-150168413.92971787</v>
      </c>
      <c r="C32" s="425">
        <f t="shared" si="0"/>
        <v>-315549290.68577224</v>
      </c>
      <c r="D32" s="426">
        <f t="shared" si="1"/>
        <v>-212417462.02496186</v>
      </c>
      <c r="E32" s="427">
        <f t="shared" si="2"/>
        <v>-257713075.48776904</v>
      </c>
      <c r="F32" s="392"/>
      <c r="G32" s="391"/>
    </row>
    <row r="33" spans="1:7" x14ac:dyDescent="0.25">
      <c r="A33" s="424">
        <v>0.9</v>
      </c>
      <c r="B33" s="425">
        <f t="shared" si="3"/>
        <v>-199970717.23731485</v>
      </c>
      <c r="C33" s="425">
        <f t="shared" si="0"/>
        <v>-282661155.61534208</v>
      </c>
      <c r="D33" s="426">
        <f t="shared" si="1"/>
        <v>-231095241.28493676</v>
      </c>
      <c r="E33" s="427">
        <f t="shared" si="2"/>
        <v>-253743048.01634049</v>
      </c>
      <c r="F33" s="392"/>
      <c r="G33" s="391"/>
    </row>
    <row r="34" spans="1:7" x14ac:dyDescent="0.25">
      <c r="A34" s="424">
        <v>1</v>
      </c>
      <c r="B34" s="425">
        <f t="shared" si="3"/>
        <v>-249773020.54491195</v>
      </c>
      <c r="C34" s="425">
        <f t="shared" si="0"/>
        <v>-249773020.54491195</v>
      </c>
      <c r="D34" s="426">
        <f t="shared" si="1"/>
        <v>-249773020.54491195</v>
      </c>
      <c r="E34" s="427">
        <f t="shared" si="2"/>
        <v>-249773020.54491195</v>
      </c>
      <c r="F34" s="392"/>
      <c r="G34" s="391"/>
    </row>
    <row r="35" spans="1:7" x14ac:dyDescent="0.25">
      <c r="A35" s="424">
        <v>1.1000000000000001</v>
      </c>
      <c r="B35" s="425">
        <f t="shared" si="3"/>
        <v>-299575323.8525089</v>
      </c>
      <c r="C35" s="425">
        <f t="shared" si="0"/>
        <v>-216884885.47448161</v>
      </c>
      <c r="D35" s="426">
        <f t="shared" si="1"/>
        <v>-268450799.80488682</v>
      </c>
      <c r="E35" s="427">
        <f t="shared" si="2"/>
        <v>-245802993.07348329</v>
      </c>
      <c r="F35" s="392"/>
      <c r="G35" s="391"/>
    </row>
    <row r="36" spans="1:7" x14ac:dyDescent="0.25">
      <c r="A36" s="424">
        <v>1.2</v>
      </c>
      <c r="B36" s="425">
        <f t="shared" si="3"/>
        <v>-349377627.16010576</v>
      </c>
      <c r="C36" s="425">
        <f t="shared" si="0"/>
        <v>-183996750.40405142</v>
      </c>
      <c r="D36" s="426">
        <f t="shared" si="1"/>
        <v>-287128579.06486171</v>
      </c>
      <c r="E36" s="427">
        <f t="shared" si="2"/>
        <v>-241832965.60205472</v>
      </c>
      <c r="F36" s="392"/>
      <c r="G36" s="391"/>
    </row>
    <row r="37" spans="1:7" ht="14.25" thickBot="1" x14ac:dyDescent="0.3">
      <c r="A37" s="428">
        <v>1.3</v>
      </c>
      <c r="B37" s="429">
        <f t="shared" si="3"/>
        <v>-399179930.46770304</v>
      </c>
      <c r="C37" s="429">
        <f t="shared" si="0"/>
        <v>-151108615.33362132</v>
      </c>
      <c r="D37" s="430">
        <f t="shared" si="1"/>
        <v>-305806358.32483679</v>
      </c>
      <c r="E37" s="431">
        <f t="shared" si="2"/>
        <v>-237862938.1306262</v>
      </c>
      <c r="F37" s="392"/>
      <c r="G37" s="391"/>
    </row>
    <row r="40" spans="1:7" ht="12" customHeight="1" x14ac:dyDescent="0.25"/>
    <row r="41" spans="1:7" hidden="1" x14ac:dyDescent="0.25"/>
    <row r="42" spans="1:7" hidden="1" x14ac:dyDescent="0.25"/>
    <row r="43" spans="1:7" ht="10.5" hidden="1" customHeight="1" x14ac:dyDescent="0.25"/>
    <row r="44" spans="1:7" hidden="1" x14ac:dyDescent="0.25"/>
    <row r="45" spans="1:7" hidden="1" x14ac:dyDescent="0.25">
      <c r="A45" s="432" t="s">
        <v>244</v>
      </c>
      <c r="B45" s="433"/>
      <c r="C45" s="434"/>
      <c r="D45" s="391"/>
      <c r="E45" s="391"/>
      <c r="F45" s="392"/>
      <c r="G45" s="391"/>
    </row>
    <row r="46" spans="1:7" hidden="1" x14ac:dyDescent="0.25">
      <c r="A46" s="476" t="s">
        <v>245</v>
      </c>
      <c r="B46" s="477"/>
      <c r="C46" s="393">
        <v>1</v>
      </c>
      <c r="D46" s="391"/>
      <c r="E46" s="391"/>
      <c r="F46" s="392"/>
      <c r="G46" s="391"/>
    </row>
    <row r="47" spans="1:7" hidden="1" x14ac:dyDescent="0.25">
      <c r="A47" s="478" t="s">
        <v>233</v>
      </c>
      <c r="B47" s="479"/>
      <c r="C47" s="394">
        <v>1</v>
      </c>
      <c r="D47" s="391"/>
      <c r="E47" s="391"/>
      <c r="F47" s="392"/>
      <c r="G47" s="391"/>
    </row>
    <row r="48" spans="1:7" hidden="1" x14ac:dyDescent="0.25">
      <c r="A48" s="478" t="s">
        <v>234</v>
      </c>
      <c r="B48" s="479"/>
      <c r="C48" s="435">
        <v>1</v>
      </c>
      <c r="D48" s="391"/>
      <c r="E48" s="391"/>
      <c r="F48" s="392"/>
      <c r="G48" s="391"/>
    </row>
    <row r="49" spans="1:7" ht="14.25" hidden="1" thickBot="1" x14ac:dyDescent="0.3">
      <c r="A49" s="480" t="s">
        <v>246</v>
      </c>
      <c r="B49" s="481"/>
      <c r="C49" s="395">
        <v>1</v>
      </c>
      <c r="D49" s="391"/>
      <c r="E49" s="391"/>
      <c r="F49" s="392"/>
      <c r="G49" s="391"/>
    </row>
    <row r="50" spans="1:7" hidden="1" x14ac:dyDescent="0.25">
      <c r="A50" s="391"/>
      <c r="B50" s="391"/>
      <c r="C50" s="391"/>
      <c r="D50" s="391"/>
      <c r="E50" s="391"/>
      <c r="F50" s="392"/>
      <c r="G50" s="391"/>
    </row>
    <row r="51" spans="1:7" ht="30" hidden="1" customHeight="1" x14ac:dyDescent="0.25">
      <c r="A51" s="484" t="s">
        <v>245</v>
      </c>
      <c r="B51" s="485"/>
      <c r="C51" s="436" t="s">
        <v>249</v>
      </c>
      <c r="D51" s="391"/>
      <c r="E51" s="486" t="str">
        <f>A47</f>
        <v>Przychody operacyjne</v>
      </c>
      <c r="F51" s="487"/>
      <c r="G51" s="437" t="s">
        <v>249</v>
      </c>
    </row>
    <row r="52" spans="1:7" hidden="1" x14ac:dyDescent="0.25">
      <c r="A52" s="398"/>
      <c r="B52" s="399" t="e">
        <f>'Wyniki-Luka_FNPV_ENPV   '!B109+'Wyniki-Luka_FNPV_ENPV   '!#REF!+'Wyniki-Luka_FNPV_ENPV   '!C109</f>
        <v>#REF!</v>
      </c>
      <c r="C52" s="400">
        <f>'Wyniki-Luka_FNPV_ENPV   '!B116</f>
        <v>3387865264.4640656</v>
      </c>
      <c r="D52" s="391"/>
      <c r="E52" s="401"/>
      <c r="F52" s="399">
        <f>SUM('Wyniki-Luka_FNPV_ENPV   '!B105:AE105)</f>
        <v>715454367.06302178</v>
      </c>
      <c r="G52" s="400">
        <f>'Wyniki-Luka_FNPV_ENPV   '!B116</f>
        <v>3387865264.4640656</v>
      </c>
    </row>
    <row r="53" spans="1:7" hidden="1" x14ac:dyDescent="0.25">
      <c r="A53" s="402">
        <v>0.7</v>
      </c>
      <c r="B53" s="403" t="e">
        <f t="dataTable" ref="B53:C59" dt2D="0" dtr="0" r1="C46"/>
        <v>#REF!</v>
      </c>
      <c r="C53" s="404">
        <v>3411584731.4210925</v>
      </c>
      <c r="D53" s="391"/>
      <c r="E53" s="402">
        <v>0.7</v>
      </c>
      <c r="F53" s="403">
        <f t="dataTable" ref="F53:G59" dt2D="0" dtr="0" r1="C47" ca="1"/>
        <v>500818056.94411522</v>
      </c>
      <c r="G53" s="405">
        <v>3289200859.2527761</v>
      </c>
    </row>
    <row r="54" spans="1:7" hidden="1" x14ac:dyDescent="0.25">
      <c r="A54" s="402">
        <v>0.8</v>
      </c>
      <c r="B54" s="403" t="e">
        <v>#REF!</v>
      </c>
      <c r="C54" s="404">
        <v>3403678242.4354172</v>
      </c>
      <c r="D54" s="391"/>
      <c r="E54" s="402">
        <v>0.8</v>
      </c>
      <c r="F54" s="403">
        <v>572363493.65041757</v>
      </c>
      <c r="G54" s="405">
        <v>3322088994.323205</v>
      </c>
    </row>
    <row r="55" spans="1:7" hidden="1" x14ac:dyDescent="0.25">
      <c r="A55" s="402">
        <v>0.9</v>
      </c>
      <c r="B55" s="403" t="e">
        <v>#REF!</v>
      </c>
      <c r="C55" s="404">
        <v>3395771753.4497414</v>
      </c>
      <c r="D55" s="391"/>
      <c r="E55" s="402">
        <v>0.9</v>
      </c>
      <c r="F55" s="403">
        <v>643908930.35671973</v>
      </c>
      <c r="G55" s="405">
        <v>3354977129.3936362</v>
      </c>
    </row>
    <row r="56" spans="1:7" hidden="1" x14ac:dyDescent="0.25">
      <c r="A56" s="402">
        <v>1</v>
      </c>
      <c r="B56" s="403" t="e">
        <v>#REF!</v>
      </c>
      <c r="C56" s="404">
        <v>3387865264.4640656</v>
      </c>
      <c r="D56" s="391"/>
      <c r="E56" s="402">
        <v>1</v>
      </c>
      <c r="F56" s="403">
        <v>715454367.06302178</v>
      </c>
      <c r="G56" s="405">
        <v>3387865264.4640656</v>
      </c>
    </row>
    <row r="57" spans="1:7" hidden="1" x14ac:dyDescent="0.25">
      <c r="A57" s="402">
        <v>1.1000000000000001</v>
      </c>
      <c r="B57" s="403" t="e">
        <v>#REF!</v>
      </c>
      <c r="C57" s="404">
        <v>3379958775.4783902</v>
      </c>
      <c r="D57" s="391"/>
      <c r="E57" s="402">
        <v>1.1000000000000001</v>
      </c>
      <c r="F57" s="403">
        <v>786999803.76932406</v>
      </c>
      <c r="G57" s="405">
        <v>3420753399.5344958</v>
      </c>
    </row>
    <row r="58" spans="1:7" hidden="1" x14ac:dyDescent="0.25">
      <c r="A58" s="402">
        <v>1.2</v>
      </c>
      <c r="B58" s="403" t="e">
        <v>#REF!</v>
      </c>
      <c r="C58" s="404">
        <v>3372052286.4927144</v>
      </c>
      <c r="D58" s="391"/>
      <c r="E58" s="402">
        <v>1.2</v>
      </c>
      <c r="F58" s="403">
        <v>858545240.47562623</v>
      </c>
      <c r="G58" s="405">
        <v>3453641534.6049261</v>
      </c>
    </row>
    <row r="59" spans="1:7" ht="14.25" hidden="1" thickBot="1" x14ac:dyDescent="0.3">
      <c r="A59" s="406">
        <v>1.3</v>
      </c>
      <c r="B59" s="407" t="e">
        <v>#REF!</v>
      </c>
      <c r="C59" s="408">
        <v>3364145797.5070391</v>
      </c>
      <c r="D59" s="391"/>
      <c r="E59" s="406">
        <v>1.3</v>
      </c>
      <c r="F59" s="407">
        <v>930090677.18192804</v>
      </c>
      <c r="G59" s="409">
        <v>3486529669.6753564</v>
      </c>
    </row>
    <row r="60" spans="1:7" hidden="1" x14ac:dyDescent="0.25">
      <c r="A60" s="391"/>
      <c r="B60" s="392"/>
      <c r="C60" s="391"/>
      <c r="D60" s="391"/>
      <c r="E60" s="391"/>
      <c r="F60" s="392"/>
      <c r="G60" s="391"/>
    </row>
    <row r="61" spans="1:7" ht="39" hidden="1" customHeight="1" x14ac:dyDescent="0.25">
      <c r="A61" s="484" t="str">
        <f>A48</f>
        <v>Dodatkowe korzyści społeczno - ekonomiczne</v>
      </c>
      <c r="B61" s="485"/>
      <c r="C61" s="436" t="s">
        <v>249</v>
      </c>
      <c r="D61" s="391"/>
      <c r="E61" s="486" t="str">
        <f>A49</f>
        <v>Koszty operacyjne</v>
      </c>
      <c r="F61" s="487"/>
      <c r="G61" s="436" t="s">
        <v>249</v>
      </c>
    </row>
    <row r="62" spans="1:7" hidden="1" x14ac:dyDescent="0.25">
      <c r="A62" s="410"/>
      <c r="B62" s="399">
        <f>SUM('Wyniki-Luka_FNPV_ENPV   '!B107:AE107)</f>
        <v>7410109238.4000034</v>
      </c>
      <c r="C62" s="400">
        <f>'Wyniki-Luka_FNPV_ENPV   '!B116</f>
        <v>3387865264.4640656</v>
      </c>
      <c r="D62" s="391"/>
      <c r="E62" s="411"/>
      <c r="F62" s="412">
        <f>SUM('Wyniki-Luka_FNPV_ENPV   '!B110:AE110)</f>
        <v>146112958.89999998</v>
      </c>
      <c r="G62" s="413">
        <f>'Wyniki-Luka_FNPV_ENPV   '!B116</f>
        <v>3387865264.4640656</v>
      </c>
    </row>
    <row r="63" spans="1:7" hidden="1" x14ac:dyDescent="0.25">
      <c r="A63" s="402">
        <v>0.7</v>
      </c>
      <c r="B63" s="403">
        <f t="dataTable" ref="B63:C69" dt2D="0" dtr="0" r1="C48" ca="1"/>
        <v>7410109238.4000034</v>
      </c>
      <c r="C63" s="404">
        <v>3387865264.4640656</v>
      </c>
      <c r="D63" s="391"/>
      <c r="E63" s="402">
        <v>0.7</v>
      </c>
      <c r="F63" s="414">
        <f t="dataTable" ref="F63:G69" dt2D="0" dtr="0" r1="C49" ca="1"/>
        <v>102279071.23000002</v>
      </c>
      <c r="G63" s="415">
        <v>3407218765.2548671</v>
      </c>
    </row>
    <row r="64" spans="1:7" ht="11.25" hidden="1" customHeight="1" x14ac:dyDescent="0.25">
      <c r="A64" s="402">
        <v>0.8</v>
      </c>
      <c r="B64" s="403">
        <v>7410109238.4000034</v>
      </c>
      <c r="C64" s="404">
        <v>3387865264.4640656</v>
      </c>
      <c r="D64" s="391"/>
      <c r="E64" s="402">
        <v>0.8</v>
      </c>
      <c r="F64" s="414">
        <v>116890367.11999997</v>
      </c>
      <c r="G64" s="415">
        <v>3400767598.3245997</v>
      </c>
    </row>
    <row r="65" spans="1:7" hidden="1" x14ac:dyDescent="0.25">
      <c r="A65" s="402">
        <v>0.9</v>
      </c>
      <c r="B65" s="403">
        <v>7410109238.4000034</v>
      </c>
      <c r="C65" s="404">
        <v>3387865264.4640656</v>
      </c>
      <c r="D65" s="391"/>
      <c r="E65" s="402">
        <v>0.9</v>
      </c>
      <c r="F65" s="414">
        <v>131501663.01000008</v>
      </c>
      <c r="G65" s="415">
        <v>3394316431.3943324</v>
      </c>
    </row>
    <row r="66" spans="1:7" hidden="1" x14ac:dyDescent="0.25">
      <c r="A66" s="402">
        <v>1</v>
      </c>
      <c r="B66" s="403">
        <v>7410109238.4000034</v>
      </c>
      <c r="C66" s="404">
        <v>3387865264.4640656</v>
      </c>
      <c r="D66" s="391"/>
      <c r="E66" s="402">
        <v>1</v>
      </c>
      <c r="F66" s="414">
        <v>146112958.89999998</v>
      </c>
      <c r="G66" s="415">
        <v>3387865264.4640656</v>
      </c>
    </row>
    <row r="67" spans="1:7" hidden="1" x14ac:dyDescent="0.25">
      <c r="A67" s="402">
        <v>1.1000000000000001</v>
      </c>
      <c r="B67" s="403">
        <v>7410109238.4000034</v>
      </c>
      <c r="C67" s="404">
        <v>3387865264.4640656</v>
      </c>
      <c r="D67" s="391"/>
      <c r="E67" s="402">
        <v>1.1000000000000001</v>
      </c>
      <c r="F67" s="414">
        <v>160724254.79000002</v>
      </c>
      <c r="G67" s="415">
        <v>3381414097.5337992</v>
      </c>
    </row>
    <row r="68" spans="1:7" hidden="1" x14ac:dyDescent="0.25">
      <c r="A68" s="402">
        <v>1.2</v>
      </c>
      <c r="B68" s="403">
        <v>7410109238.4000034</v>
      </c>
      <c r="C68" s="404">
        <v>3387865264.4640656</v>
      </c>
      <c r="D68" s="391"/>
      <c r="E68" s="402">
        <v>1.2</v>
      </c>
      <c r="F68" s="414">
        <v>175335550.67999995</v>
      </c>
      <c r="G68" s="415">
        <v>3374962930.6035323</v>
      </c>
    </row>
    <row r="69" spans="1:7" ht="14.25" hidden="1" thickBot="1" x14ac:dyDescent="0.3">
      <c r="A69" s="406">
        <v>1.3</v>
      </c>
      <c r="B69" s="407">
        <v>7410109238.4000034</v>
      </c>
      <c r="C69" s="408">
        <v>3387865264.4640656</v>
      </c>
      <c r="D69" s="391"/>
      <c r="E69" s="406">
        <v>1.3</v>
      </c>
      <c r="F69" s="416">
        <v>189946846.57000005</v>
      </c>
      <c r="G69" s="408">
        <v>3368511763.6732669</v>
      </c>
    </row>
    <row r="70" spans="1:7" hidden="1" x14ac:dyDescent="0.25">
      <c r="A70" s="391"/>
      <c r="B70" s="391"/>
      <c r="C70" s="391"/>
      <c r="D70" s="391"/>
      <c r="E70" s="391"/>
      <c r="F70" s="392"/>
      <c r="G70" s="391"/>
    </row>
    <row r="71" spans="1:7" ht="149.25" hidden="1" customHeight="1" x14ac:dyDescent="0.25">
      <c r="A71" s="438" t="s">
        <v>248</v>
      </c>
      <c r="B71" s="439" t="str">
        <f>A46</f>
        <v>Nakłady inwestycyjne</v>
      </c>
      <c r="C71" s="439" t="str">
        <f>A47</f>
        <v>Przychody operacyjne</v>
      </c>
      <c r="D71" s="439" t="str">
        <f>A48</f>
        <v>Dodatkowe korzyści społeczno - ekonomiczne</v>
      </c>
      <c r="E71" s="440" t="str">
        <f>A49</f>
        <v>Koszty operacyjne</v>
      </c>
      <c r="F71" s="392"/>
      <c r="G71" s="391"/>
    </row>
    <row r="72" spans="1:7" hidden="1" x14ac:dyDescent="0.25">
      <c r="A72" s="420">
        <v>0.7</v>
      </c>
      <c r="B72" s="421">
        <f t="shared" ref="B72:B78" si="4">C53</f>
        <v>3411584731.4210925</v>
      </c>
      <c r="C72" s="421">
        <f t="shared" ref="C72:C78" si="5">G53</f>
        <v>3289200859.2527761</v>
      </c>
      <c r="D72" s="422">
        <f t="shared" ref="D72:D78" si="6">C63</f>
        <v>3387865264.4640656</v>
      </c>
      <c r="E72" s="423">
        <f t="shared" ref="E72:E78" si="7">G63</f>
        <v>3407218765.2548671</v>
      </c>
      <c r="F72" s="392"/>
      <c r="G72" s="391"/>
    </row>
    <row r="73" spans="1:7" hidden="1" x14ac:dyDescent="0.25">
      <c r="A73" s="424">
        <v>0.8</v>
      </c>
      <c r="B73" s="425">
        <f t="shared" si="4"/>
        <v>3403678242.4354172</v>
      </c>
      <c r="C73" s="425">
        <f t="shared" si="5"/>
        <v>3322088994.323205</v>
      </c>
      <c r="D73" s="426">
        <f t="shared" si="6"/>
        <v>3387865264.4640656</v>
      </c>
      <c r="E73" s="427">
        <f t="shared" si="7"/>
        <v>3400767598.3245997</v>
      </c>
      <c r="F73" s="392"/>
      <c r="G73" s="391"/>
    </row>
    <row r="74" spans="1:7" hidden="1" x14ac:dyDescent="0.25">
      <c r="A74" s="424">
        <v>0.9</v>
      </c>
      <c r="B74" s="425">
        <f t="shared" si="4"/>
        <v>3395771753.4497414</v>
      </c>
      <c r="C74" s="425">
        <f t="shared" si="5"/>
        <v>3354977129.3936362</v>
      </c>
      <c r="D74" s="426">
        <f t="shared" si="6"/>
        <v>3387865264.4640656</v>
      </c>
      <c r="E74" s="427">
        <f t="shared" si="7"/>
        <v>3394316431.3943324</v>
      </c>
      <c r="F74" s="392"/>
      <c r="G74" s="391"/>
    </row>
    <row r="75" spans="1:7" hidden="1" x14ac:dyDescent="0.25">
      <c r="A75" s="424">
        <v>1</v>
      </c>
      <c r="B75" s="425">
        <f t="shared" si="4"/>
        <v>3387865264.4640656</v>
      </c>
      <c r="C75" s="425">
        <f t="shared" si="5"/>
        <v>3387865264.4640656</v>
      </c>
      <c r="D75" s="426">
        <f t="shared" si="6"/>
        <v>3387865264.4640656</v>
      </c>
      <c r="E75" s="427">
        <f>G66</f>
        <v>3387865264.4640656</v>
      </c>
      <c r="F75" s="392"/>
      <c r="G75" s="391"/>
    </row>
    <row r="76" spans="1:7" hidden="1" x14ac:dyDescent="0.25">
      <c r="A76" s="424">
        <v>1.1000000000000001</v>
      </c>
      <c r="B76" s="425">
        <f t="shared" si="4"/>
        <v>3379958775.4783902</v>
      </c>
      <c r="C76" s="425">
        <f t="shared" si="5"/>
        <v>3420753399.5344958</v>
      </c>
      <c r="D76" s="426">
        <f t="shared" si="6"/>
        <v>3387865264.4640656</v>
      </c>
      <c r="E76" s="427">
        <f t="shared" si="7"/>
        <v>3381414097.5337992</v>
      </c>
      <c r="F76" s="392"/>
      <c r="G76" s="391"/>
    </row>
    <row r="77" spans="1:7" hidden="1" x14ac:dyDescent="0.25">
      <c r="A77" s="424">
        <v>1.2</v>
      </c>
      <c r="B77" s="425">
        <f t="shared" si="4"/>
        <v>3372052286.4927144</v>
      </c>
      <c r="C77" s="425">
        <f t="shared" si="5"/>
        <v>3453641534.6049261</v>
      </c>
      <c r="D77" s="426">
        <f t="shared" si="6"/>
        <v>3387865264.4640656</v>
      </c>
      <c r="E77" s="427">
        <f t="shared" si="7"/>
        <v>3374962930.6035323</v>
      </c>
      <c r="F77" s="392"/>
      <c r="G77" s="391"/>
    </row>
    <row r="78" spans="1:7" ht="14.25" hidden="1" thickBot="1" x14ac:dyDescent="0.3">
      <c r="A78" s="428">
        <v>1.3</v>
      </c>
      <c r="B78" s="429">
        <f t="shared" si="4"/>
        <v>3364145797.5070391</v>
      </c>
      <c r="C78" s="429">
        <f t="shared" si="5"/>
        <v>3486529669.6753564</v>
      </c>
      <c r="D78" s="430">
        <f t="shared" si="6"/>
        <v>3387865264.4640656</v>
      </c>
      <c r="E78" s="431">
        <f t="shared" si="7"/>
        <v>3368511763.6732669</v>
      </c>
      <c r="F78" s="392"/>
      <c r="G78" s="391"/>
    </row>
    <row r="79" spans="1:7" hidden="1" x14ac:dyDescent="0.25"/>
    <row r="80" spans="1:7" hidden="1" x14ac:dyDescent="0.25"/>
  </sheetData>
  <mergeCells count="16">
    <mergeCell ref="A51:B51"/>
    <mergeCell ref="E51:F51"/>
    <mergeCell ref="A61:B61"/>
    <mergeCell ref="E61:F61"/>
    <mergeCell ref="A20:B20"/>
    <mergeCell ref="E20:F20"/>
    <mergeCell ref="A46:B46"/>
    <mergeCell ref="A47:B47"/>
    <mergeCell ref="A48:B48"/>
    <mergeCell ref="A49:B49"/>
    <mergeCell ref="E10:F10"/>
    <mergeCell ref="A5:B5"/>
    <mergeCell ref="A6:B6"/>
    <mergeCell ref="A7:B7"/>
    <mergeCell ref="A8:B8"/>
    <mergeCell ref="A10:B10"/>
  </mergeCells>
  <printOptions horizontalCentered="1" verticalCentered="1"/>
  <pageMargins left="0.46" right="0.74803149606299213" top="0.78740157480314965" bottom="0.78740157480314965" header="0.11811023622047245" footer="0.11811023622047245"/>
  <pageSetup paperSize="8" orientation="portrait" r:id="rId1"/>
  <headerFooter>
    <oddHeader>&amp;C&amp;G</oddHeader>
    <oddFooter>Strona &amp;P z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8"/>
  <dimension ref="A1:AH80"/>
  <sheetViews>
    <sheetView view="pageBreakPreview" topLeftCell="A40" zoomScale="70" zoomScaleNormal="70" zoomScaleSheetLayoutView="70" workbookViewId="0">
      <selection activeCell="C61" sqref="C61:C64"/>
    </sheetView>
  </sheetViews>
  <sheetFormatPr defaultRowHeight="12.75" x14ac:dyDescent="0.2"/>
  <cols>
    <col min="1" max="1" width="31.7109375" style="12" customWidth="1"/>
    <col min="2" max="2" width="8.28515625" style="12" customWidth="1"/>
    <col min="3" max="3" width="16.28515625" style="12" bestFit="1" customWidth="1"/>
    <col min="4" max="5" width="13.28515625" style="12" bestFit="1" customWidth="1"/>
    <col min="6" max="6" width="14.42578125" style="12" bestFit="1" customWidth="1"/>
    <col min="7" max="7" width="13.28515625" style="12" bestFit="1" customWidth="1"/>
    <col min="8" max="8" width="14.42578125" style="12" bestFit="1" customWidth="1"/>
    <col min="9" max="9" width="13.28515625" style="12" bestFit="1" customWidth="1"/>
    <col min="10" max="33" width="10.5703125" style="12" bestFit="1" customWidth="1"/>
    <col min="34" max="16384" width="9.140625" style="12"/>
  </cols>
  <sheetData>
    <row r="1" spans="1:34" ht="15.75" x14ac:dyDescent="0.2">
      <c r="A1" s="233" t="s">
        <v>425</v>
      </c>
      <c r="D1" s="12">
        <v>1</v>
      </c>
      <c r="E1" s="12">
        <v>2</v>
      </c>
      <c r="F1" s="12">
        <v>3</v>
      </c>
      <c r="G1" s="12">
        <v>4</v>
      </c>
      <c r="H1" s="12">
        <v>5</v>
      </c>
      <c r="I1" s="12">
        <v>6</v>
      </c>
      <c r="J1" s="12">
        <v>7</v>
      </c>
      <c r="K1" s="12">
        <v>8</v>
      </c>
      <c r="L1" s="12">
        <v>9</v>
      </c>
      <c r="M1" s="12">
        <v>10</v>
      </c>
      <c r="N1" s="12">
        <v>11</v>
      </c>
      <c r="O1" s="12">
        <v>12</v>
      </c>
      <c r="P1" s="12">
        <v>13</v>
      </c>
      <c r="Q1" s="12">
        <v>14</v>
      </c>
      <c r="R1" s="12">
        <v>15</v>
      </c>
      <c r="S1" s="12">
        <v>16</v>
      </c>
      <c r="T1" s="12">
        <v>17</v>
      </c>
      <c r="U1" s="12">
        <v>18</v>
      </c>
      <c r="V1" s="12">
        <v>19</v>
      </c>
      <c r="W1" s="12">
        <v>20</v>
      </c>
      <c r="X1" s="12">
        <v>21</v>
      </c>
      <c r="Y1" s="12">
        <v>22</v>
      </c>
      <c r="Z1" s="12">
        <v>23</v>
      </c>
      <c r="AA1" s="12">
        <v>24</v>
      </c>
      <c r="AB1" s="12">
        <v>25</v>
      </c>
      <c r="AC1" s="12">
        <v>26</v>
      </c>
      <c r="AD1" s="12">
        <v>27</v>
      </c>
      <c r="AE1" s="12">
        <v>28</v>
      </c>
      <c r="AF1" s="12">
        <v>29</v>
      </c>
      <c r="AG1" s="12">
        <v>30</v>
      </c>
    </row>
    <row r="2" spans="1:34" s="1" customFormat="1" ht="13.5" x14ac:dyDescent="0.25">
      <c r="A2" s="184" t="s">
        <v>250</v>
      </c>
      <c r="B2" s="372"/>
      <c r="C2" s="488" t="s">
        <v>366</v>
      </c>
      <c r="D2" s="488">
        <v>2015</v>
      </c>
      <c r="E2" s="488">
        <v>2016</v>
      </c>
      <c r="F2" s="488">
        <v>2017</v>
      </c>
      <c r="G2" s="488">
        <v>2018</v>
      </c>
      <c r="H2" s="488">
        <v>2019</v>
      </c>
      <c r="I2" s="488">
        <v>2020</v>
      </c>
      <c r="J2" s="488">
        <v>2021</v>
      </c>
      <c r="K2" s="488">
        <v>2022</v>
      </c>
      <c r="L2" s="488">
        <v>2023</v>
      </c>
      <c r="M2" s="488">
        <v>2024</v>
      </c>
      <c r="N2" s="488">
        <v>2025</v>
      </c>
      <c r="O2" s="488">
        <v>2026</v>
      </c>
      <c r="P2" s="488">
        <v>2027</v>
      </c>
      <c r="Q2" s="488">
        <v>2028</v>
      </c>
      <c r="R2" s="488">
        <v>2029</v>
      </c>
      <c r="S2" s="488">
        <v>2030</v>
      </c>
      <c r="T2" s="488">
        <v>2031</v>
      </c>
      <c r="U2" s="488">
        <v>2032</v>
      </c>
      <c r="V2" s="488">
        <v>2033</v>
      </c>
      <c r="W2" s="488">
        <v>2034</v>
      </c>
      <c r="X2" s="488">
        <v>2035</v>
      </c>
      <c r="Y2" s="488">
        <v>2036</v>
      </c>
      <c r="Z2" s="488">
        <v>2037</v>
      </c>
      <c r="AA2" s="488">
        <v>2038</v>
      </c>
      <c r="AB2" s="488">
        <v>2039</v>
      </c>
      <c r="AC2" s="488">
        <v>2040</v>
      </c>
      <c r="AD2" s="488">
        <v>2041</v>
      </c>
      <c r="AE2" s="488">
        <v>2042</v>
      </c>
      <c r="AF2" s="488">
        <v>2043</v>
      </c>
      <c r="AG2" s="488">
        <v>2044</v>
      </c>
    </row>
    <row r="3" spans="1:34" s="1" customFormat="1" ht="15" customHeight="1" x14ac:dyDescent="0.25">
      <c r="A3" s="184" t="s">
        <v>251</v>
      </c>
      <c r="B3" s="373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</row>
    <row r="4" spans="1:34" s="1" customFormat="1" ht="13.5" x14ac:dyDescent="0.25">
      <c r="A4" s="21" t="s">
        <v>245</v>
      </c>
      <c r="B4" s="2" t="s">
        <v>252</v>
      </c>
      <c r="C4" s="218">
        <f>D4+NPV($C$13,E4:AG4)</f>
        <v>498023033.07597005</v>
      </c>
      <c r="D4" s="374">
        <f>'Wyniki-Luka_FNPV_ENPV   '!C62</f>
        <v>16449405</v>
      </c>
      <c r="E4" s="374">
        <f>'Wyniki-Luka_FNPV_ENPV   '!D62</f>
        <v>84840430</v>
      </c>
      <c r="F4" s="374">
        <f>'Wyniki-Luka_FNPV_ENPV   '!E62</f>
        <v>158558010</v>
      </c>
      <c r="G4" s="374">
        <f>'Wyniki-Luka_FNPV_ENPV   '!F62</f>
        <v>108315987.09999999</v>
      </c>
      <c r="H4" s="374">
        <f>'Wyniki-Luka_FNPV_ENPV   '!G62</f>
        <v>101091482.47</v>
      </c>
      <c r="I4" s="374">
        <f>'Wyniki-Luka_FNPV_ENPV   '!H62</f>
        <v>52449613.420000002</v>
      </c>
      <c r="J4" s="374">
        <f>'Wyniki-Luka_FNPV_ENPV   '!I62</f>
        <v>0</v>
      </c>
      <c r="K4" s="374">
        <f>'Wyniki-Luka_FNPV_ENPV   '!J62</f>
        <v>0</v>
      </c>
      <c r="L4" s="374">
        <f>'Wyniki-Luka_FNPV_ENPV   '!K62</f>
        <v>0</v>
      </c>
      <c r="M4" s="374">
        <f>'Wyniki-Luka_FNPV_ENPV   '!L62</f>
        <v>0</v>
      </c>
      <c r="N4" s="374">
        <f>'Wyniki-Luka_FNPV_ENPV   '!M62</f>
        <v>0</v>
      </c>
      <c r="O4" s="374">
        <f>'Wyniki-Luka_FNPV_ENPV   '!N62</f>
        <v>0</v>
      </c>
      <c r="P4" s="374">
        <f>'Wyniki-Luka_FNPV_ENPV   '!O62</f>
        <v>0</v>
      </c>
      <c r="Q4" s="374">
        <f>'Wyniki-Luka_FNPV_ENPV   '!P62</f>
        <v>0</v>
      </c>
      <c r="R4" s="374">
        <f>'Wyniki-Luka_FNPV_ENPV   '!Q62</f>
        <v>0</v>
      </c>
      <c r="S4" s="374">
        <f>'Wyniki-Luka_FNPV_ENPV   '!R62</f>
        <v>20854470.649999999</v>
      </c>
      <c r="T4" s="374">
        <f>'Wyniki-Luka_FNPV_ENPV   '!S62</f>
        <v>0</v>
      </c>
      <c r="U4" s="374">
        <f>'Wyniki-Luka_FNPV_ENPV   '!T62</f>
        <v>0</v>
      </c>
      <c r="V4" s="374">
        <f>'Wyniki-Luka_FNPV_ENPV   '!U62</f>
        <v>0</v>
      </c>
      <c r="W4" s="374">
        <f>'Wyniki-Luka_FNPV_ENPV   '!V62</f>
        <v>0</v>
      </c>
      <c r="X4" s="374">
        <f>'Wyniki-Luka_FNPV_ENPV   '!W62</f>
        <v>20854470.649999999</v>
      </c>
      <c r="Y4" s="374">
        <f>'Wyniki-Luka_FNPV_ENPV   '!X62</f>
        <v>42000000</v>
      </c>
      <c r="Z4" s="374">
        <f>'Wyniki-Luka_FNPV_ENPV   '!Y62</f>
        <v>0</v>
      </c>
      <c r="AA4" s="374">
        <f>'Wyniki-Luka_FNPV_ENPV   '!Z62</f>
        <v>0</v>
      </c>
      <c r="AB4" s="374">
        <f>'Wyniki-Luka_FNPV_ENPV   '!AA62</f>
        <v>0</v>
      </c>
      <c r="AC4" s="374">
        <f>'Wyniki-Luka_FNPV_ENPV   '!AB62</f>
        <v>20854470.649999999</v>
      </c>
      <c r="AD4" s="374">
        <f>'Wyniki-Luka_FNPV_ENPV   '!AC62</f>
        <v>0</v>
      </c>
      <c r="AE4" s="374">
        <f>'Wyniki-Luka_FNPV_ENPV   '!AD62</f>
        <v>0</v>
      </c>
      <c r="AF4" s="374">
        <f>'Wyniki-Luka_FNPV_ENPV   '!AE62</f>
        <v>0</v>
      </c>
      <c r="AG4" s="374">
        <f>'Wyniki-Luka_FNPV_ENPV   '!AF62</f>
        <v>0</v>
      </c>
    </row>
    <row r="5" spans="1:34" s="51" customFormat="1" ht="13.5" x14ac:dyDescent="0.25">
      <c r="A5" s="59" t="s">
        <v>253</v>
      </c>
      <c r="B5" s="7" t="s">
        <v>254</v>
      </c>
      <c r="C5" s="205">
        <f>NPV($C$13,E5:AG5)+D5</f>
        <v>329262302.11770433</v>
      </c>
      <c r="D5" s="130">
        <f>'Wyniki-Luka_FNPV_ENPV   '!C61+'Obliczenia-AF'!D217+'Obliczenia-AF'!D232</f>
        <v>0</v>
      </c>
      <c r="E5" s="130">
        <f>'Wyniki-Luka_FNPV_ENPV   '!D61+'Obliczenia-AF'!E217+'Obliczenia-AF'!E232</f>
        <v>2142000</v>
      </c>
      <c r="F5" s="130">
        <f>'Wyniki-Luka_FNPV_ENPV   '!E61+'Obliczenia-AF'!F217+'Obliczenia-AF'!F232</f>
        <v>2148556</v>
      </c>
      <c r="G5" s="130">
        <f>'Wyniki-Luka_FNPV_ENPV   '!F61+'Obliczenia-AF'!G217+'Obliczenia-AF'!G232</f>
        <v>2263076</v>
      </c>
      <c r="H5" s="130">
        <f>'Wyniki-Luka_FNPV_ENPV   '!G61+'Obliczenia-AF'!H217+'Obliczenia-AF'!H232</f>
        <v>5173076</v>
      </c>
      <c r="I5" s="130">
        <f>'Wyniki-Luka_FNPV_ENPV   '!H61+'Obliczenia-AF'!I217+'Obliczenia-AF'!I232</f>
        <v>8773918</v>
      </c>
      <c r="J5" s="130">
        <f>'Wyniki-Luka_FNPV_ENPV   '!I61+'Obliczenia-AF'!J217+'Obliczenia-AF'!J232</f>
        <v>28680123.625</v>
      </c>
      <c r="K5" s="130">
        <f>'Wyniki-Luka_FNPV_ENPV   '!J61+'Obliczenia-AF'!K217+'Obliczenia-AF'!K232</f>
        <v>28680123.625</v>
      </c>
      <c r="L5" s="130">
        <f>'Wyniki-Luka_FNPV_ENPV   '!K61+'Obliczenia-AF'!L217+'Obliczenia-AF'!L232</f>
        <v>28680123.625</v>
      </c>
      <c r="M5" s="130">
        <f>'Wyniki-Luka_FNPV_ENPV   '!L61+'Obliczenia-AF'!M217+'Obliczenia-AF'!M232</f>
        <v>28680123.625</v>
      </c>
      <c r="N5" s="130">
        <f>'Wyniki-Luka_FNPV_ENPV   '!M61+'Obliczenia-AF'!N217+'Obliczenia-AF'!N232</f>
        <v>28680123.625</v>
      </c>
      <c r="O5" s="130">
        <f>'Wyniki-Luka_FNPV_ENPV   '!N61+'Obliczenia-AF'!O217+'Obliczenia-AF'!O232</f>
        <v>28680123.625</v>
      </c>
      <c r="P5" s="130">
        <f>'Wyniki-Luka_FNPV_ENPV   '!O61+'Obliczenia-AF'!P217+'Obliczenia-AF'!P232</f>
        <v>28680123.625</v>
      </c>
      <c r="Q5" s="130">
        <f>'Wyniki-Luka_FNPV_ENPV   '!P61+'Obliczenia-AF'!Q217+'Obliczenia-AF'!Q232</f>
        <v>28680123.625</v>
      </c>
      <c r="R5" s="130">
        <f>'Wyniki-Luka_FNPV_ENPV   '!Q61+'Obliczenia-AF'!R217+'Obliczenia-AF'!R232</f>
        <v>28680123.625</v>
      </c>
      <c r="S5" s="130">
        <f>'Wyniki-Luka_FNPV_ENPV   '!R61+'Obliczenia-AF'!S217+'Obliczenia-AF'!S232</f>
        <v>28680123.625</v>
      </c>
      <c r="T5" s="130">
        <f>'Wyniki-Luka_FNPV_ENPV   '!S61+'Obliczenia-AF'!T217+'Obliczenia-AF'!T232</f>
        <v>29201485.391249999</v>
      </c>
      <c r="U5" s="130">
        <f>'Wyniki-Luka_FNPV_ENPV   '!T61+'Obliczenia-AF'!U217+'Obliczenia-AF'!U232</f>
        <v>29201485.391249999</v>
      </c>
      <c r="V5" s="130">
        <f>'Wyniki-Luka_FNPV_ENPV   '!U61+'Obliczenia-AF'!V217+'Obliczenia-AF'!V232</f>
        <v>29201485.391249999</v>
      </c>
      <c r="W5" s="130">
        <f>'Wyniki-Luka_FNPV_ENPV   '!V61+'Obliczenia-AF'!W217+'Obliczenia-AF'!W232</f>
        <v>29201485.391249999</v>
      </c>
      <c r="X5" s="130">
        <f>'Wyniki-Luka_FNPV_ENPV   '!W61+'Obliczenia-AF'!X217+'Obliczenia-AF'!X232</f>
        <v>28231485.391249999</v>
      </c>
      <c r="Y5" s="130">
        <f>'Wyniki-Luka_FNPV_ENPV   '!X61+'Obliczenia-AF'!Y217+'Obliczenia-AF'!Y232</f>
        <v>26812847.157499999</v>
      </c>
      <c r="Z5" s="130">
        <f>'Wyniki-Luka_FNPV_ENPV   '!Y61+'Obliczenia-AF'!Z217+'Obliczenia-AF'!Z232</f>
        <v>29332847.157499999</v>
      </c>
      <c r="AA5" s="130">
        <f>'Wyniki-Luka_FNPV_ENPV   '!Z61+'Obliczenia-AF'!AA217+'Obliczenia-AF'!AA232</f>
        <v>29332847.157499999</v>
      </c>
      <c r="AB5" s="130">
        <f>'Wyniki-Luka_FNPV_ENPV   '!AA61+'Obliczenia-AF'!AB217+'Obliczenia-AF'!AB232</f>
        <v>29332847.157499999</v>
      </c>
      <c r="AC5" s="130">
        <f>'Wyniki-Luka_FNPV_ENPV   '!AB61+'Obliczenia-AF'!AC217+'Obliczenia-AF'!AC232</f>
        <v>29332847.157499999</v>
      </c>
      <c r="AD5" s="130">
        <f>'Wyniki-Luka_FNPV_ENPV   '!AC61+'Obliczenia-AF'!AD217+'Obliczenia-AF'!AD232</f>
        <v>29854208.923750002</v>
      </c>
      <c r="AE5" s="130">
        <f>'Wyniki-Luka_FNPV_ENPV   '!AD61+'Obliczenia-AF'!AE217+'Obliczenia-AF'!AE232</f>
        <v>29854208.923750002</v>
      </c>
      <c r="AF5" s="130">
        <f>'Wyniki-Luka_FNPV_ENPV   '!AE61+'Obliczenia-AF'!AF217+'Obliczenia-AF'!AF232</f>
        <v>29854208.923750002</v>
      </c>
      <c r="AG5" s="130">
        <f>'Wyniki-Luka_FNPV_ENPV   '!AF61+'Obliczenia-AF'!AG217+'Obliczenia-AF'!AG232</f>
        <v>29854208.923750002</v>
      </c>
    </row>
    <row r="6" spans="1:34" s="51" customFormat="1" ht="15.75" x14ac:dyDescent="0.25">
      <c r="A6" s="59" t="s">
        <v>255</v>
      </c>
      <c r="B6" s="7" t="s">
        <v>371</v>
      </c>
      <c r="C6" s="205">
        <f>NPV($C$13,E6:AG6)+D6</f>
        <v>33572465.657831199</v>
      </c>
      <c r="D6" s="130">
        <f>'Obliczenia-AF'!E140+'Obliczenia-AF'!E160</f>
        <v>0</v>
      </c>
      <c r="E6" s="130">
        <f>'Obliczenia-AF'!F140+'Obliczenia-AF'!F160</f>
        <v>0</v>
      </c>
      <c r="F6" s="130">
        <f>'Obliczenia-AF'!G140+'Obliczenia-AF'!G160</f>
        <v>0</v>
      </c>
      <c r="G6" s="130">
        <f>'Obliczenia-AF'!H140+'Obliczenia-AF'!H160</f>
        <v>0</v>
      </c>
      <c r="H6" s="130">
        <f>'Obliczenia-AF'!I140+'Obliczenia-AF'!I160</f>
        <v>0</v>
      </c>
      <c r="I6" s="130">
        <f>'Obliczenia-AF'!J140+'Obliczenia-AF'!J160</f>
        <v>0</v>
      </c>
      <c r="J6" s="130">
        <f>'Obliczenia-AF'!K140+'Obliczenia-AF'!K160</f>
        <v>3105227.28</v>
      </c>
      <c r="K6" s="130">
        <f>'Obliczenia-AF'!L140+'Obliczenia-AF'!L160</f>
        <v>3105227.28</v>
      </c>
      <c r="L6" s="130">
        <f>'Obliczenia-AF'!M140+'Obliczenia-AF'!M160</f>
        <v>3105227.28</v>
      </c>
      <c r="M6" s="130">
        <f>'Obliczenia-AF'!N140+'Obliczenia-AF'!N160</f>
        <v>3105227.28</v>
      </c>
      <c r="N6" s="130">
        <f>'Obliczenia-AF'!O140+'Obliczenia-AF'!O160</f>
        <v>3105227.28</v>
      </c>
      <c r="O6" s="130">
        <f>'Obliczenia-AF'!P140+'Obliczenia-AF'!P160</f>
        <v>3105227.28</v>
      </c>
      <c r="P6" s="130">
        <f>'Obliczenia-AF'!Q140+'Obliczenia-AF'!Q160</f>
        <v>3105227.28</v>
      </c>
      <c r="Q6" s="130">
        <f>'Obliczenia-AF'!R140+'Obliczenia-AF'!R160</f>
        <v>3105227.28</v>
      </c>
      <c r="R6" s="130">
        <f>'Obliczenia-AF'!S140+'Obliczenia-AF'!S160</f>
        <v>3105227.28</v>
      </c>
      <c r="S6" s="130">
        <f>'Obliczenia-AF'!T140+'Obliczenia-AF'!T160</f>
        <v>3105227.28</v>
      </c>
      <c r="T6" s="130">
        <f>'Obliczenia-AF'!U140+'Obliczenia-AF'!U160</f>
        <v>3105227.28</v>
      </c>
      <c r="U6" s="130">
        <f>'Obliczenia-AF'!V140+'Obliczenia-AF'!V160</f>
        <v>3105227.28</v>
      </c>
      <c r="V6" s="130">
        <f>'Obliczenia-AF'!W140+'Obliczenia-AF'!W160</f>
        <v>3105227.28</v>
      </c>
      <c r="W6" s="130">
        <f>'Obliczenia-AF'!X140+'Obliczenia-AF'!X160</f>
        <v>3105227.28</v>
      </c>
      <c r="X6" s="130">
        <f>'Obliczenia-AF'!Y140+'Obliczenia-AF'!Y160</f>
        <v>3105227.28</v>
      </c>
      <c r="Y6" s="130">
        <f>'Obliczenia-AF'!Z140+'Obliczenia-AF'!Z160</f>
        <v>3105227.28</v>
      </c>
      <c r="Z6" s="130">
        <f>'Obliczenia-AF'!AA140+'Obliczenia-AF'!AA160</f>
        <v>3105227.28</v>
      </c>
      <c r="AA6" s="130">
        <f>'Obliczenia-AF'!AB140+'Obliczenia-AF'!AB160</f>
        <v>3105227.28</v>
      </c>
      <c r="AB6" s="130">
        <f>'Obliczenia-AF'!AC140+'Obliczenia-AF'!AC160</f>
        <v>3105227.28</v>
      </c>
      <c r="AC6" s="130">
        <f>'Obliczenia-AF'!AD140+'Obliczenia-AF'!AD160</f>
        <v>3105227.28</v>
      </c>
      <c r="AD6" s="130">
        <f>'Obliczenia-AF'!AE140+'Obliczenia-AF'!AE160</f>
        <v>3105227.28</v>
      </c>
      <c r="AE6" s="130">
        <f>'Obliczenia-AF'!AF140+'Obliczenia-AF'!AF160</f>
        <v>3105227.28</v>
      </c>
      <c r="AF6" s="130">
        <f>'Obliczenia-AF'!AG140+'Obliczenia-AF'!AG160</f>
        <v>3105227.28</v>
      </c>
      <c r="AG6" s="130">
        <f>'Obliczenia-AF'!AH140+'Obliczenia-AF'!AH160</f>
        <v>3105227.28</v>
      </c>
    </row>
    <row r="7" spans="1:34" s="1" customFormat="1" ht="15.75" x14ac:dyDescent="0.25">
      <c r="A7" s="125" t="s">
        <v>256</v>
      </c>
      <c r="B7" s="317" t="s">
        <v>372</v>
      </c>
      <c r="C7" s="375">
        <f>(C5+C4)/C6</f>
        <v>24.641780667089598</v>
      </c>
      <c r="D7" s="2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4" s="1" customFormat="1" ht="13.5" x14ac:dyDescent="0.25">
      <c r="A8" s="376" t="s">
        <v>257</v>
      </c>
      <c r="B8" s="373"/>
      <c r="C8" s="219"/>
      <c r="D8" s="21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4" s="1" customFormat="1" ht="13.5" x14ac:dyDescent="0.25">
      <c r="A9" s="21" t="s">
        <v>245</v>
      </c>
      <c r="B9" s="2" t="s">
        <v>252</v>
      </c>
      <c r="C9" s="218">
        <f>D9+NPV($C$13,E9:AG9)</f>
        <v>499213509.26644623</v>
      </c>
      <c r="D9" s="22">
        <f>D4-'Założenia-dane wejściowe '!D265</f>
        <v>16449405</v>
      </c>
      <c r="E9" s="22">
        <f>E4-'Założenia-dane wejściowe '!E265+5000000</f>
        <v>86090430</v>
      </c>
      <c r="F9" s="22">
        <f>F4-'Założenia-dane wejściowe '!F265</f>
        <v>158558010</v>
      </c>
      <c r="G9" s="22">
        <f>G4-'Założenia-dane wejściowe '!G265</f>
        <v>108315987.09999999</v>
      </c>
      <c r="H9" s="22">
        <f>H4-'Założenia-dane wejściowe '!H265</f>
        <v>101091482.47</v>
      </c>
      <c r="I9" s="22">
        <f>I4-'Założenia-dane wejściowe '!I265</f>
        <v>52449613.420000002</v>
      </c>
      <c r="J9" s="22">
        <f t="shared" ref="J9:AG9" si="0">J4</f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si="0"/>
        <v>0</v>
      </c>
      <c r="Q9" s="22">
        <f t="shared" si="0"/>
        <v>0</v>
      </c>
      <c r="R9" s="22">
        <f t="shared" si="0"/>
        <v>0</v>
      </c>
      <c r="S9" s="22">
        <f t="shared" si="0"/>
        <v>20854470.649999999</v>
      </c>
      <c r="T9" s="22">
        <f t="shared" si="0"/>
        <v>0</v>
      </c>
      <c r="U9" s="22">
        <f t="shared" si="0"/>
        <v>0</v>
      </c>
      <c r="V9" s="22">
        <f t="shared" si="0"/>
        <v>0</v>
      </c>
      <c r="W9" s="22">
        <f t="shared" si="0"/>
        <v>0</v>
      </c>
      <c r="X9" s="22">
        <f t="shared" si="0"/>
        <v>20854470.649999999</v>
      </c>
      <c r="Y9" s="22">
        <f t="shared" si="0"/>
        <v>42000000</v>
      </c>
      <c r="Z9" s="22">
        <f t="shared" si="0"/>
        <v>0</v>
      </c>
      <c r="AA9" s="22">
        <f t="shared" si="0"/>
        <v>0</v>
      </c>
      <c r="AB9" s="22">
        <f t="shared" si="0"/>
        <v>0</v>
      </c>
      <c r="AC9" s="22">
        <f t="shared" si="0"/>
        <v>20854470.649999999</v>
      </c>
      <c r="AD9" s="22">
        <f t="shared" si="0"/>
        <v>0</v>
      </c>
      <c r="AE9" s="22">
        <f t="shared" si="0"/>
        <v>0</v>
      </c>
      <c r="AF9" s="22">
        <f t="shared" si="0"/>
        <v>0</v>
      </c>
      <c r="AG9" s="22">
        <f t="shared" si="0"/>
        <v>0</v>
      </c>
    </row>
    <row r="10" spans="1:34" s="51" customFormat="1" ht="13.5" x14ac:dyDescent="0.25">
      <c r="A10" s="59" t="s">
        <v>253</v>
      </c>
      <c r="B10" s="7" t="s">
        <v>254</v>
      </c>
      <c r="C10" s="205">
        <f>NPV($C$13,E10:AG10)+D10</f>
        <v>332505475.52690834</v>
      </c>
      <c r="D10" s="130">
        <f>D5</f>
        <v>0</v>
      </c>
      <c r="E10" s="130">
        <f t="shared" ref="E10:AG11" si="1">E5</f>
        <v>2142000</v>
      </c>
      <c r="F10" s="130">
        <f>F5+200000</f>
        <v>2348556</v>
      </c>
      <c r="G10" s="130">
        <f t="shared" ref="G10:I10" si="2">G5+200000</f>
        <v>2463076</v>
      </c>
      <c r="H10" s="130">
        <f t="shared" si="2"/>
        <v>5373076</v>
      </c>
      <c r="I10" s="130">
        <f t="shared" si="2"/>
        <v>8973918</v>
      </c>
      <c r="J10" s="130">
        <f>J5+200000-3500000*2.5%+5000000*2.5%</f>
        <v>28917623.625</v>
      </c>
      <c r="K10" s="130">
        <f t="shared" ref="K10:AG10" si="3">K5+200000-3500000*2.5%+5000000*2.5%</f>
        <v>28917623.625</v>
      </c>
      <c r="L10" s="130">
        <f t="shared" si="3"/>
        <v>28917623.625</v>
      </c>
      <c r="M10" s="130">
        <f t="shared" si="3"/>
        <v>28917623.625</v>
      </c>
      <c r="N10" s="130">
        <f t="shared" si="3"/>
        <v>28917623.625</v>
      </c>
      <c r="O10" s="130">
        <f t="shared" si="3"/>
        <v>28917623.625</v>
      </c>
      <c r="P10" s="130">
        <f t="shared" si="3"/>
        <v>28917623.625</v>
      </c>
      <c r="Q10" s="130">
        <f t="shared" si="3"/>
        <v>28917623.625</v>
      </c>
      <c r="R10" s="130">
        <f t="shared" si="3"/>
        <v>28917623.625</v>
      </c>
      <c r="S10" s="130">
        <f t="shared" si="3"/>
        <v>28917623.625</v>
      </c>
      <c r="T10" s="130">
        <f t="shared" si="3"/>
        <v>29438985.391249999</v>
      </c>
      <c r="U10" s="130">
        <f t="shared" si="3"/>
        <v>29438985.391249999</v>
      </c>
      <c r="V10" s="130">
        <f t="shared" si="3"/>
        <v>29438985.391249999</v>
      </c>
      <c r="W10" s="130">
        <f t="shared" si="3"/>
        <v>29438985.391249999</v>
      </c>
      <c r="X10" s="130">
        <f t="shared" si="3"/>
        <v>28468985.391249999</v>
      </c>
      <c r="Y10" s="130">
        <f t="shared" si="3"/>
        <v>27050347.157499999</v>
      </c>
      <c r="Z10" s="130">
        <f t="shared" si="3"/>
        <v>29570347.157499999</v>
      </c>
      <c r="AA10" s="130">
        <f t="shared" si="3"/>
        <v>29570347.157499999</v>
      </c>
      <c r="AB10" s="130">
        <f t="shared" si="3"/>
        <v>29570347.157499999</v>
      </c>
      <c r="AC10" s="130">
        <f t="shared" si="3"/>
        <v>29570347.157499999</v>
      </c>
      <c r="AD10" s="130">
        <f t="shared" si="3"/>
        <v>30091708.923750002</v>
      </c>
      <c r="AE10" s="130">
        <f t="shared" si="3"/>
        <v>30091708.923750002</v>
      </c>
      <c r="AF10" s="130">
        <f t="shared" si="3"/>
        <v>30091708.923750002</v>
      </c>
      <c r="AG10" s="130">
        <f t="shared" si="3"/>
        <v>30091708.923750002</v>
      </c>
    </row>
    <row r="11" spans="1:34" s="51" customFormat="1" ht="15.75" x14ac:dyDescent="0.25">
      <c r="A11" s="59" t="s">
        <v>255</v>
      </c>
      <c r="B11" s="7" t="s">
        <v>371</v>
      </c>
      <c r="C11" s="205">
        <f>NPV($C$13,E11:AG11)+D11</f>
        <v>33572465.657831199</v>
      </c>
      <c r="D11" s="130">
        <f>D6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  <c r="I11" s="130">
        <f t="shared" si="1"/>
        <v>0</v>
      </c>
      <c r="J11" s="130">
        <f t="shared" si="1"/>
        <v>3105227.28</v>
      </c>
      <c r="K11" s="130">
        <f t="shared" si="1"/>
        <v>3105227.28</v>
      </c>
      <c r="L11" s="130">
        <f t="shared" si="1"/>
        <v>3105227.28</v>
      </c>
      <c r="M11" s="130">
        <f t="shared" si="1"/>
        <v>3105227.28</v>
      </c>
      <c r="N11" s="130">
        <f t="shared" si="1"/>
        <v>3105227.28</v>
      </c>
      <c r="O11" s="130">
        <f t="shared" si="1"/>
        <v>3105227.28</v>
      </c>
      <c r="P11" s="130">
        <f t="shared" si="1"/>
        <v>3105227.28</v>
      </c>
      <c r="Q11" s="130">
        <f t="shared" si="1"/>
        <v>3105227.28</v>
      </c>
      <c r="R11" s="130">
        <f t="shared" si="1"/>
        <v>3105227.28</v>
      </c>
      <c r="S11" s="130">
        <f t="shared" si="1"/>
        <v>3105227.28</v>
      </c>
      <c r="T11" s="130">
        <f t="shared" si="1"/>
        <v>3105227.28</v>
      </c>
      <c r="U11" s="130">
        <f t="shared" si="1"/>
        <v>3105227.28</v>
      </c>
      <c r="V11" s="130">
        <f t="shared" si="1"/>
        <v>3105227.28</v>
      </c>
      <c r="W11" s="130">
        <f t="shared" si="1"/>
        <v>3105227.28</v>
      </c>
      <c r="X11" s="130">
        <f t="shared" si="1"/>
        <v>3105227.28</v>
      </c>
      <c r="Y11" s="130">
        <f t="shared" si="1"/>
        <v>3105227.28</v>
      </c>
      <c r="Z11" s="130">
        <f t="shared" si="1"/>
        <v>3105227.28</v>
      </c>
      <c r="AA11" s="130">
        <f t="shared" si="1"/>
        <v>3105227.28</v>
      </c>
      <c r="AB11" s="130">
        <f t="shared" si="1"/>
        <v>3105227.28</v>
      </c>
      <c r="AC11" s="130">
        <f t="shared" si="1"/>
        <v>3105227.28</v>
      </c>
      <c r="AD11" s="130">
        <f t="shared" si="1"/>
        <v>3105227.28</v>
      </c>
      <c r="AE11" s="130">
        <f t="shared" si="1"/>
        <v>3105227.28</v>
      </c>
      <c r="AF11" s="130">
        <f t="shared" si="1"/>
        <v>3105227.28</v>
      </c>
      <c r="AG11" s="130">
        <f t="shared" si="1"/>
        <v>3105227.28</v>
      </c>
    </row>
    <row r="12" spans="1:34" s="1" customFormat="1" ht="15.75" x14ac:dyDescent="0.25">
      <c r="A12" s="125" t="s">
        <v>256</v>
      </c>
      <c r="B12" s="317" t="s">
        <v>372</v>
      </c>
      <c r="C12" s="23">
        <f>(C10+C9)/C11</f>
        <v>24.773842745724743</v>
      </c>
      <c r="D12" s="377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</row>
    <row r="13" spans="1:34" s="1" customFormat="1" ht="13.5" x14ac:dyDescent="0.25">
      <c r="A13" s="21" t="s">
        <v>258</v>
      </c>
      <c r="B13" s="21"/>
      <c r="C13" s="4">
        <v>0.05</v>
      </c>
      <c r="D13" s="378"/>
    </row>
    <row r="15" spans="1:34" ht="15.75" x14ac:dyDescent="0.2">
      <c r="A15" s="233" t="s">
        <v>439</v>
      </c>
      <c r="F15" s="12">
        <v>3</v>
      </c>
      <c r="G15" s="12">
        <v>4</v>
      </c>
      <c r="H15" s="12">
        <v>5</v>
      </c>
      <c r="I15" s="12">
        <v>6</v>
      </c>
      <c r="J15" s="12">
        <v>7</v>
      </c>
      <c r="K15" s="12">
        <v>8</v>
      </c>
      <c r="L15" s="12">
        <v>9</v>
      </c>
      <c r="M15" s="12">
        <v>10</v>
      </c>
      <c r="N15" s="12">
        <v>11</v>
      </c>
      <c r="O15" s="12">
        <v>12</v>
      </c>
      <c r="P15" s="12">
        <v>13</v>
      </c>
      <c r="Q15" s="12">
        <v>14</v>
      </c>
      <c r="R15" s="12">
        <v>15</v>
      </c>
      <c r="S15" s="12">
        <v>16</v>
      </c>
      <c r="T15" s="12">
        <v>17</v>
      </c>
      <c r="U15" s="12">
        <v>18</v>
      </c>
      <c r="V15" s="12">
        <v>19</v>
      </c>
      <c r="W15" s="12">
        <v>20</v>
      </c>
      <c r="X15" s="12">
        <v>21</v>
      </c>
      <c r="Y15" s="12">
        <v>22</v>
      </c>
      <c r="Z15" s="12">
        <v>23</v>
      </c>
      <c r="AA15" s="12">
        <v>24</v>
      </c>
      <c r="AB15" s="12">
        <v>25</v>
      </c>
      <c r="AC15" s="12">
        <v>26</v>
      </c>
      <c r="AD15" s="12">
        <v>27</v>
      </c>
      <c r="AE15" s="12">
        <v>28</v>
      </c>
      <c r="AF15" s="12">
        <v>29</v>
      </c>
      <c r="AG15" s="12">
        <v>30</v>
      </c>
    </row>
    <row r="16" spans="1:34" s="1" customFormat="1" ht="13.5" x14ac:dyDescent="0.25">
      <c r="A16" s="184" t="s">
        <v>250</v>
      </c>
      <c r="B16" s="372"/>
      <c r="C16" s="488" t="s">
        <v>366</v>
      </c>
      <c r="D16" s="488">
        <v>2015</v>
      </c>
      <c r="E16" s="488">
        <v>2016</v>
      </c>
      <c r="F16" s="488">
        <v>2017</v>
      </c>
      <c r="G16" s="488">
        <v>2018</v>
      </c>
      <c r="H16" s="488">
        <v>2019</v>
      </c>
      <c r="I16" s="488">
        <v>2020</v>
      </c>
      <c r="J16" s="488">
        <v>2021</v>
      </c>
      <c r="K16" s="488">
        <v>2022</v>
      </c>
      <c r="L16" s="488">
        <v>2023</v>
      </c>
      <c r="M16" s="488">
        <v>2024</v>
      </c>
      <c r="N16" s="488">
        <v>2025</v>
      </c>
      <c r="O16" s="488">
        <v>2026</v>
      </c>
      <c r="P16" s="488">
        <v>2027</v>
      </c>
      <c r="Q16" s="488">
        <v>2028</v>
      </c>
      <c r="R16" s="488">
        <v>2029</v>
      </c>
      <c r="S16" s="488">
        <v>2030</v>
      </c>
      <c r="T16" s="488">
        <v>2031</v>
      </c>
      <c r="U16" s="488">
        <v>2032</v>
      </c>
      <c r="V16" s="488">
        <v>2033</v>
      </c>
      <c r="W16" s="488">
        <v>2034</v>
      </c>
      <c r="X16" s="488">
        <v>2035</v>
      </c>
      <c r="Y16" s="488">
        <v>2036</v>
      </c>
      <c r="Z16" s="488">
        <v>2037</v>
      </c>
      <c r="AA16" s="488">
        <v>2038</v>
      </c>
      <c r="AB16" s="488">
        <v>2039</v>
      </c>
      <c r="AC16" s="488">
        <v>2040</v>
      </c>
      <c r="AD16" s="488">
        <v>2041</v>
      </c>
      <c r="AE16" s="488">
        <v>2042</v>
      </c>
      <c r="AF16" s="488">
        <v>2043</v>
      </c>
      <c r="AG16" s="488">
        <v>2044</v>
      </c>
    </row>
    <row r="17" spans="1:34" s="1" customFormat="1" ht="15" customHeight="1" x14ac:dyDescent="0.25">
      <c r="A17" s="184" t="s">
        <v>251</v>
      </c>
      <c r="B17" s="373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</row>
    <row r="18" spans="1:34" s="1" customFormat="1" ht="13.5" x14ac:dyDescent="0.25">
      <c r="A18" s="21" t="s">
        <v>245</v>
      </c>
      <c r="B18" s="2" t="s">
        <v>252</v>
      </c>
      <c r="C18" s="218">
        <f>D18+NPV($C$13,E18:AG18)</f>
        <v>498023033.07597005</v>
      </c>
      <c r="D18" s="374">
        <f>D4</f>
        <v>16449405</v>
      </c>
      <c r="E18" s="374">
        <f t="shared" ref="E18:AG18" si="4">E4</f>
        <v>84840430</v>
      </c>
      <c r="F18" s="374">
        <f t="shared" si="4"/>
        <v>158558010</v>
      </c>
      <c r="G18" s="374">
        <f t="shared" si="4"/>
        <v>108315987.09999999</v>
      </c>
      <c r="H18" s="374">
        <f t="shared" si="4"/>
        <v>101091482.47</v>
      </c>
      <c r="I18" s="374">
        <f t="shared" si="4"/>
        <v>52449613.420000002</v>
      </c>
      <c r="J18" s="374">
        <f t="shared" si="4"/>
        <v>0</v>
      </c>
      <c r="K18" s="374">
        <f t="shared" si="4"/>
        <v>0</v>
      </c>
      <c r="L18" s="374">
        <f t="shared" si="4"/>
        <v>0</v>
      </c>
      <c r="M18" s="374">
        <f t="shared" si="4"/>
        <v>0</v>
      </c>
      <c r="N18" s="374">
        <f t="shared" si="4"/>
        <v>0</v>
      </c>
      <c r="O18" s="374">
        <f t="shared" si="4"/>
        <v>0</v>
      </c>
      <c r="P18" s="374">
        <f t="shared" si="4"/>
        <v>0</v>
      </c>
      <c r="Q18" s="374">
        <f t="shared" si="4"/>
        <v>0</v>
      </c>
      <c r="R18" s="374">
        <f t="shared" si="4"/>
        <v>0</v>
      </c>
      <c r="S18" s="374">
        <f t="shared" si="4"/>
        <v>20854470.649999999</v>
      </c>
      <c r="T18" s="374">
        <f t="shared" si="4"/>
        <v>0</v>
      </c>
      <c r="U18" s="374">
        <f t="shared" si="4"/>
        <v>0</v>
      </c>
      <c r="V18" s="374">
        <f t="shared" si="4"/>
        <v>0</v>
      </c>
      <c r="W18" s="374">
        <f t="shared" si="4"/>
        <v>0</v>
      </c>
      <c r="X18" s="374">
        <f t="shared" si="4"/>
        <v>20854470.649999999</v>
      </c>
      <c r="Y18" s="374">
        <f t="shared" si="4"/>
        <v>42000000</v>
      </c>
      <c r="Z18" s="374">
        <f t="shared" si="4"/>
        <v>0</v>
      </c>
      <c r="AA18" s="374">
        <f t="shared" si="4"/>
        <v>0</v>
      </c>
      <c r="AB18" s="374">
        <f t="shared" si="4"/>
        <v>0</v>
      </c>
      <c r="AC18" s="374">
        <f t="shared" si="4"/>
        <v>20854470.649999999</v>
      </c>
      <c r="AD18" s="374">
        <f t="shared" si="4"/>
        <v>0</v>
      </c>
      <c r="AE18" s="374">
        <f t="shared" si="4"/>
        <v>0</v>
      </c>
      <c r="AF18" s="374">
        <f t="shared" si="4"/>
        <v>0</v>
      </c>
      <c r="AG18" s="374">
        <f t="shared" si="4"/>
        <v>0</v>
      </c>
    </row>
    <row r="19" spans="1:34" s="51" customFormat="1" ht="13.5" x14ac:dyDescent="0.25">
      <c r="A19" s="59" t="s">
        <v>253</v>
      </c>
      <c r="B19" s="7" t="s">
        <v>254</v>
      </c>
      <c r="C19" s="205">
        <f>NPV($C$13,E19:AG19)+D19</f>
        <v>329262302.11770433</v>
      </c>
      <c r="D19" s="374">
        <f>D5</f>
        <v>0</v>
      </c>
      <c r="E19" s="374">
        <f t="shared" ref="E19:AG19" si="5">E5</f>
        <v>2142000</v>
      </c>
      <c r="F19" s="374">
        <f t="shared" si="5"/>
        <v>2148556</v>
      </c>
      <c r="G19" s="374">
        <f t="shared" si="5"/>
        <v>2263076</v>
      </c>
      <c r="H19" s="374">
        <f t="shared" si="5"/>
        <v>5173076</v>
      </c>
      <c r="I19" s="374">
        <f t="shared" si="5"/>
        <v>8773918</v>
      </c>
      <c r="J19" s="374">
        <f t="shared" si="5"/>
        <v>28680123.625</v>
      </c>
      <c r="K19" s="374">
        <f t="shared" si="5"/>
        <v>28680123.625</v>
      </c>
      <c r="L19" s="374">
        <f t="shared" si="5"/>
        <v>28680123.625</v>
      </c>
      <c r="M19" s="374">
        <f t="shared" si="5"/>
        <v>28680123.625</v>
      </c>
      <c r="N19" s="374">
        <f t="shared" si="5"/>
        <v>28680123.625</v>
      </c>
      <c r="O19" s="374">
        <f t="shared" si="5"/>
        <v>28680123.625</v>
      </c>
      <c r="P19" s="374">
        <f t="shared" si="5"/>
        <v>28680123.625</v>
      </c>
      <c r="Q19" s="374">
        <f t="shared" si="5"/>
        <v>28680123.625</v>
      </c>
      <c r="R19" s="374">
        <f t="shared" si="5"/>
        <v>28680123.625</v>
      </c>
      <c r="S19" s="374">
        <f t="shared" si="5"/>
        <v>28680123.625</v>
      </c>
      <c r="T19" s="374">
        <f t="shared" si="5"/>
        <v>29201485.391249999</v>
      </c>
      <c r="U19" s="374">
        <f t="shared" si="5"/>
        <v>29201485.391249999</v>
      </c>
      <c r="V19" s="374">
        <f t="shared" si="5"/>
        <v>29201485.391249999</v>
      </c>
      <c r="W19" s="374">
        <f t="shared" si="5"/>
        <v>29201485.391249999</v>
      </c>
      <c r="X19" s="374">
        <f t="shared" si="5"/>
        <v>28231485.391249999</v>
      </c>
      <c r="Y19" s="374">
        <f t="shared" si="5"/>
        <v>26812847.157499999</v>
      </c>
      <c r="Z19" s="374">
        <f t="shared" si="5"/>
        <v>29332847.157499999</v>
      </c>
      <c r="AA19" s="374">
        <f t="shared" si="5"/>
        <v>29332847.157499999</v>
      </c>
      <c r="AB19" s="374">
        <f t="shared" si="5"/>
        <v>29332847.157499999</v>
      </c>
      <c r="AC19" s="374">
        <f t="shared" si="5"/>
        <v>29332847.157499999</v>
      </c>
      <c r="AD19" s="374">
        <f t="shared" si="5"/>
        <v>29854208.923750002</v>
      </c>
      <c r="AE19" s="374">
        <f t="shared" si="5"/>
        <v>29854208.923750002</v>
      </c>
      <c r="AF19" s="374">
        <f t="shared" si="5"/>
        <v>29854208.923750002</v>
      </c>
      <c r="AG19" s="374">
        <f t="shared" si="5"/>
        <v>29854208.923750002</v>
      </c>
    </row>
    <row r="20" spans="1:34" s="51" customFormat="1" ht="15.75" x14ac:dyDescent="0.25">
      <c r="A20" s="59" t="s">
        <v>255</v>
      </c>
      <c r="B20" s="7" t="s">
        <v>371</v>
      </c>
      <c r="C20" s="205">
        <f>NPV($C$13,E20:AG20)+D20</f>
        <v>33572465.657831199</v>
      </c>
      <c r="D20" s="130">
        <f>D6</f>
        <v>0</v>
      </c>
      <c r="E20" s="130">
        <f t="shared" ref="E20:AG20" si="6">E6</f>
        <v>0</v>
      </c>
      <c r="F20" s="130">
        <f t="shared" si="6"/>
        <v>0</v>
      </c>
      <c r="G20" s="130">
        <f t="shared" si="6"/>
        <v>0</v>
      </c>
      <c r="H20" s="130">
        <f t="shared" si="6"/>
        <v>0</v>
      </c>
      <c r="I20" s="130">
        <f t="shared" si="6"/>
        <v>0</v>
      </c>
      <c r="J20" s="130">
        <f t="shared" si="6"/>
        <v>3105227.28</v>
      </c>
      <c r="K20" s="130">
        <f t="shared" si="6"/>
        <v>3105227.28</v>
      </c>
      <c r="L20" s="130">
        <f t="shared" si="6"/>
        <v>3105227.28</v>
      </c>
      <c r="M20" s="130">
        <f t="shared" si="6"/>
        <v>3105227.28</v>
      </c>
      <c r="N20" s="130">
        <f t="shared" si="6"/>
        <v>3105227.28</v>
      </c>
      <c r="O20" s="130">
        <f t="shared" si="6"/>
        <v>3105227.28</v>
      </c>
      <c r="P20" s="130">
        <f t="shared" si="6"/>
        <v>3105227.28</v>
      </c>
      <c r="Q20" s="130">
        <f t="shared" si="6"/>
        <v>3105227.28</v>
      </c>
      <c r="R20" s="130">
        <f t="shared" si="6"/>
        <v>3105227.28</v>
      </c>
      <c r="S20" s="130">
        <f t="shared" si="6"/>
        <v>3105227.28</v>
      </c>
      <c r="T20" s="130">
        <f t="shared" si="6"/>
        <v>3105227.28</v>
      </c>
      <c r="U20" s="130">
        <f t="shared" si="6"/>
        <v>3105227.28</v>
      </c>
      <c r="V20" s="130">
        <f t="shared" si="6"/>
        <v>3105227.28</v>
      </c>
      <c r="W20" s="130">
        <f t="shared" si="6"/>
        <v>3105227.28</v>
      </c>
      <c r="X20" s="130">
        <f t="shared" si="6"/>
        <v>3105227.28</v>
      </c>
      <c r="Y20" s="130">
        <f t="shared" si="6"/>
        <v>3105227.28</v>
      </c>
      <c r="Z20" s="130">
        <f t="shared" si="6"/>
        <v>3105227.28</v>
      </c>
      <c r="AA20" s="130">
        <f t="shared" si="6"/>
        <v>3105227.28</v>
      </c>
      <c r="AB20" s="130">
        <f t="shared" si="6"/>
        <v>3105227.28</v>
      </c>
      <c r="AC20" s="130">
        <f t="shared" si="6"/>
        <v>3105227.28</v>
      </c>
      <c r="AD20" s="130">
        <f t="shared" si="6"/>
        <v>3105227.28</v>
      </c>
      <c r="AE20" s="130">
        <f t="shared" si="6"/>
        <v>3105227.28</v>
      </c>
      <c r="AF20" s="130">
        <f t="shared" si="6"/>
        <v>3105227.28</v>
      </c>
      <c r="AG20" s="130">
        <f t="shared" si="6"/>
        <v>3105227.28</v>
      </c>
    </row>
    <row r="21" spans="1:34" s="1" customFormat="1" ht="15.75" x14ac:dyDescent="0.25">
      <c r="A21" s="125" t="s">
        <v>256</v>
      </c>
      <c r="B21" s="317" t="s">
        <v>372</v>
      </c>
      <c r="C21" s="447">
        <f>(C19+C18)/C20</f>
        <v>24.641780667089598</v>
      </c>
      <c r="D21" s="2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4" s="1" customFormat="1" ht="13.5" x14ac:dyDescent="0.25">
      <c r="A22" s="376" t="s">
        <v>257</v>
      </c>
      <c r="B22" s="373"/>
      <c r="C22" s="219"/>
      <c r="D22" s="21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4" s="1" customFormat="1" ht="13.5" x14ac:dyDescent="0.25">
      <c r="A23" s="21" t="s">
        <v>245</v>
      </c>
      <c r="B23" s="2" t="s">
        <v>252</v>
      </c>
      <c r="C23" s="218">
        <f>D23+NPV($C$13,E23:AG23)</f>
        <v>497465209.94671839</v>
      </c>
      <c r="D23" s="22">
        <f>D18-'Założenia-dane wejściowe '!D251</f>
        <v>16449405</v>
      </c>
      <c r="E23" s="22">
        <f>E18-'Założenia-dane wejściowe '!E251+1000000</f>
        <v>84540430</v>
      </c>
      <c r="F23" s="22">
        <f>F18-'Założenia-dane wejściowe '!F251+1000000</f>
        <v>158258010</v>
      </c>
      <c r="G23" s="22">
        <f>G18-'Założenia-dane wejściowe '!G251</f>
        <v>108315987.09999999</v>
      </c>
      <c r="H23" s="22">
        <f>H18-'Założenia-dane wejściowe '!H251</f>
        <v>101091482.47</v>
      </c>
      <c r="I23" s="22">
        <f>I18-'Założenia-dane wejściowe '!I251</f>
        <v>52449613.420000002</v>
      </c>
      <c r="J23" s="22">
        <f>J18-'Założenia-dane wejściowe '!J251</f>
        <v>0</v>
      </c>
      <c r="K23" s="22">
        <f>K18-'Założenia-dane wejściowe '!K251</f>
        <v>0</v>
      </c>
      <c r="L23" s="22">
        <f>L18-'Założenia-dane wejściowe '!L251</f>
        <v>0</v>
      </c>
      <c r="M23" s="22">
        <f>M18-'Założenia-dane wejściowe '!M251</f>
        <v>0</v>
      </c>
      <c r="N23" s="22">
        <f>N18-'Założenia-dane wejściowe '!N251</f>
        <v>0</v>
      </c>
      <c r="O23" s="22">
        <f>O18-'Założenia-dane wejściowe '!O251</f>
        <v>0</v>
      </c>
      <c r="P23" s="22">
        <f>P18-'Założenia-dane wejściowe '!P251</f>
        <v>0</v>
      </c>
      <c r="Q23" s="22">
        <f>Q18-'Założenia-dane wejściowe '!Q251</f>
        <v>0</v>
      </c>
      <c r="R23" s="22">
        <f>R18-'Założenia-dane wejściowe '!R251</f>
        <v>0</v>
      </c>
      <c r="S23" s="22">
        <f>S18-'Założenia-dane wejściowe '!S251</f>
        <v>20854470.649999999</v>
      </c>
      <c r="T23" s="22">
        <f>T18-'Założenia-dane wejściowe '!T251</f>
        <v>0</v>
      </c>
      <c r="U23" s="22">
        <f>U18-'Założenia-dane wejściowe '!U251</f>
        <v>0</v>
      </c>
      <c r="V23" s="22">
        <f>V18-'Założenia-dane wejściowe '!V251</f>
        <v>0</v>
      </c>
      <c r="W23" s="22">
        <f>W18-'Założenia-dane wejściowe '!W251</f>
        <v>0</v>
      </c>
      <c r="X23" s="22">
        <f>X18-'Założenia-dane wejściowe '!X251</f>
        <v>20854470.649999999</v>
      </c>
      <c r="Y23" s="22">
        <f>Y18-'Założenia-dane wejściowe '!Y251</f>
        <v>42000000</v>
      </c>
      <c r="Z23" s="22">
        <f>Z18-'Założenia-dane wejściowe '!Z251</f>
        <v>0</v>
      </c>
      <c r="AA23" s="22">
        <f>AA18-'Założenia-dane wejściowe '!AA251</f>
        <v>0</v>
      </c>
      <c r="AB23" s="22">
        <f>AB18-'Założenia-dane wejściowe '!AB251</f>
        <v>0</v>
      </c>
      <c r="AC23" s="22">
        <f>AC18-'Założenia-dane wejściowe '!AC251</f>
        <v>20854470.649999999</v>
      </c>
      <c r="AD23" s="22">
        <f>AD18-'Założenia-dane wejściowe '!AD251</f>
        <v>0</v>
      </c>
      <c r="AE23" s="22">
        <f>AE18-'Założenia-dane wejściowe '!AE251</f>
        <v>0</v>
      </c>
      <c r="AF23" s="22">
        <f>AF18-'Założenia-dane wejściowe '!AF251</f>
        <v>0</v>
      </c>
      <c r="AG23" s="22">
        <f>AG18-'Założenia-dane wejściowe '!AG251</f>
        <v>0</v>
      </c>
    </row>
    <row r="24" spans="1:34" s="51" customFormat="1" ht="13.5" x14ac:dyDescent="0.25">
      <c r="A24" s="59" t="s">
        <v>253</v>
      </c>
      <c r="B24" s="7" t="s">
        <v>254</v>
      </c>
      <c r="C24" s="205">
        <f>NPV($C$13,E24:AG24)+D24</f>
        <v>329970763.86946058</v>
      </c>
      <c r="D24" s="130">
        <f>D19</f>
        <v>0</v>
      </c>
      <c r="E24" s="130">
        <f t="shared" ref="E24:F24" si="7">E19</f>
        <v>2142000</v>
      </c>
      <c r="F24" s="130">
        <f t="shared" si="7"/>
        <v>2148556</v>
      </c>
      <c r="G24" s="130">
        <f>G19-28000*3.67+28000*6.36</f>
        <v>2338396</v>
      </c>
      <c r="H24" s="130">
        <f t="shared" ref="H24:I24" si="8">H19-28000*3.67+28000*6.36</f>
        <v>5248396</v>
      </c>
      <c r="I24" s="130">
        <f t="shared" si="8"/>
        <v>8849238</v>
      </c>
      <c r="J24" s="130">
        <f>J19-28000*3.67+28000*6.36-2600000*2.5%+2000000*2.5%-2600000*2%+2000000*2%</f>
        <v>28728443.625</v>
      </c>
      <c r="K24" s="130">
        <f t="shared" ref="K24:AF24" si="9">K19-28000*3.67+28000*6.36-2600000*2.5%+2000000*2.5%-2600000*2%+2000000*2%</f>
        <v>28728443.625</v>
      </c>
      <c r="L24" s="130">
        <f t="shared" si="9"/>
        <v>28728443.625</v>
      </c>
      <c r="M24" s="130">
        <f t="shared" si="9"/>
        <v>28728443.625</v>
      </c>
      <c r="N24" s="130">
        <f t="shared" si="9"/>
        <v>28728443.625</v>
      </c>
      <c r="O24" s="130">
        <f t="shared" si="9"/>
        <v>28728443.625</v>
      </c>
      <c r="P24" s="130">
        <f t="shared" si="9"/>
        <v>28728443.625</v>
      </c>
      <c r="Q24" s="130">
        <f t="shared" si="9"/>
        <v>28728443.625</v>
      </c>
      <c r="R24" s="130">
        <f t="shared" si="9"/>
        <v>28728443.625</v>
      </c>
      <c r="S24" s="130">
        <f t="shared" si="9"/>
        <v>28728443.625</v>
      </c>
      <c r="T24" s="130">
        <f t="shared" si="9"/>
        <v>29249805.391249999</v>
      </c>
      <c r="U24" s="130">
        <f t="shared" si="9"/>
        <v>29249805.391249999</v>
      </c>
      <c r="V24" s="130">
        <f t="shared" si="9"/>
        <v>29249805.391249999</v>
      </c>
      <c r="W24" s="130">
        <f t="shared" si="9"/>
        <v>29249805.391249999</v>
      </c>
      <c r="X24" s="130">
        <f t="shared" si="9"/>
        <v>28279805.391249999</v>
      </c>
      <c r="Y24" s="130">
        <f t="shared" si="9"/>
        <v>26861167.157499999</v>
      </c>
      <c r="Z24" s="130">
        <f t="shared" si="9"/>
        <v>29381167.157499999</v>
      </c>
      <c r="AA24" s="130">
        <f t="shared" si="9"/>
        <v>29381167.157499999</v>
      </c>
      <c r="AB24" s="130">
        <f t="shared" si="9"/>
        <v>29381167.157499999</v>
      </c>
      <c r="AC24" s="130">
        <f t="shared" si="9"/>
        <v>29381167.157499999</v>
      </c>
      <c r="AD24" s="130">
        <f t="shared" si="9"/>
        <v>29902528.923750002</v>
      </c>
      <c r="AE24" s="130">
        <f t="shared" si="9"/>
        <v>29902528.923750002</v>
      </c>
      <c r="AF24" s="130">
        <f t="shared" si="9"/>
        <v>29902528.923750002</v>
      </c>
      <c r="AG24" s="130">
        <f>AG19-28000*3.67+28000*6.36-2600000*2.5%+2000000*2.5%-2600000*2%+2000000*2%</f>
        <v>29902528.923750002</v>
      </c>
    </row>
    <row r="25" spans="1:34" s="51" customFormat="1" ht="15.75" x14ac:dyDescent="0.25">
      <c r="A25" s="59" t="s">
        <v>255</v>
      </c>
      <c r="B25" s="7" t="s">
        <v>371</v>
      </c>
      <c r="C25" s="205">
        <f>NPV($C$13,E25:AG25)+D25</f>
        <v>33572465.657831199</v>
      </c>
      <c r="D25" s="130">
        <f>D20</f>
        <v>0</v>
      </c>
      <c r="E25" s="130">
        <f t="shared" ref="E25:AG25" si="10">E20</f>
        <v>0</v>
      </c>
      <c r="F25" s="130">
        <f t="shared" si="10"/>
        <v>0</v>
      </c>
      <c r="G25" s="130">
        <f t="shared" si="10"/>
        <v>0</v>
      </c>
      <c r="H25" s="130">
        <f t="shared" si="10"/>
        <v>0</v>
      </c>
      <c r="I25" s="130">
        <f t="shared" si="10"/>
        <v>0</v>
      </c>
      <c r="J25" s="130">
        <f t="shared" si="10"/>
        <v>3105227.28</v>
      </c>
      <c r="K25" s="130">
        <f t="shared" si="10"/>
        <v>3105227.28</v>
      </c>
      <c r="L25" s="130">
        <f t="shared" si="10"/>
        <v>3105227.28</v>
      </c>
      <c r="M25" s="130">
        <f t="shared" si="10"/>
        <v>3105227.28</v>
      </c>
      <c r="N25" s="130">
        <f t="shared" si="10"/>
        <v>3105227.28</v>
      </c>
      <c r="O25" s="130">
        <f t="shared" si="10"/>
        <v>3105227.28</v>
      </c>
      <c r="P25" s="130">
        <f t="shared" si="10"/>
        <v>3105227.28</v>
      </c>
      <c r="Q25" s="130">
        <f t="shared" si="10"/>
        <v>3105227.28</v>
      </c>
      <c r="R25" s="130">
        <f t="shared" si="10"/>
        <v>3105227.28</v>
      </c>
      <c r="S25" s="130">
        <f t="shared" si="10"/>
        <v>3105227.28</v>
      </c>
      <c r="T25" s="130">
        <f t="shared" si="10"/>
        <v>3105227.28</v>
      </c>
      <c r="U25" s="130">
        <f t="shared" si="10"/>
        <v>3105227.28</v>
      </c>
      <c r="V25" s="130">
        <f t="shared" si="10"/>
        <v>3105227.28</v>
      </c>
      <c r="W25" s="130">
        <f t="shared" si="10"/>
        <v>3105227.28</v>
      </c>
      <c r="X25" s="130">
        <f t="shared" si="10"/>
        <v>3105227.28</v>
      </c>
      <c r="Y25" s="130">
        <f t="shared" si="10"/>
        <v>3105227.28</v>
      </c>
      <c r="Z25" s="130">
        <f t="shared" si="10"/>
        <v>3105227.28</v>
      </c>
      <c r="AA25" s="130">
        <f t="shared" si="10"/>
        <v>3105227.28</v>
      </c>
      <c r="AB25" s="130">
        <f t="shared" si="10"/>
        <v>3105227.28</v>
      </c>
      <c r="AC25" s="130">
        <f t="shared" si="10"/>
        <v>3105227.28</v>
      </c>
      <c r="AD25" s="130">
        <f t="shared" si="10"/>
        <v>3105227.28</v>
      </c>
      <c r="AE25" s="130">
        <f t="shared" si="10"/>
        <v>3105227.28</v>
      </c>
      <c r="AF25" s="130">
        <f t="shared" si="10"/>
        <v>3105227.28</v>
      </c>
      <c r="AG25" s="130">
        <f t="shared" si="10"/>
        <v>3105227.28</v>
      </c>
    </row>
    <row r="26" spans="1:34" s="1" customFormat="1" ht="15.75" x14ac:dyDescent="0.25">
      <c r="A26" s="125" t="s">
        <v>256</v>
      </c>
      <c r="B26" s="317" t="s">
        <v>372</v>
      </c>
      <c r="C26" s="446">
        <f>(C24+C23)/C25</f>
        <v>24.646267636382827</v>
      </c>
      <c r="D26" s="377"/>
      <c r="E26" s="106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</row>
    <row r="27" spans="1:34" s="1" customFormat="1" ht="13.5" x14ac:dyDescent="0.25">
      <c r="A27" s="376" t="s">
        <v>440</v>
      </c>
      <c r="B27" s="373"/>
      <c r="C27" s="219"/>
      <c r="D27" s="21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4" s="1" customFormat="1" ht="13.5" x14ac:dyDescent="0.25">
      <c r="A28" s="21" t="s">
        <v>245</v>
      </c>
      <c r="B28" s="2" t="s">
        <v>252</v>
      </c>
      <c r="C28" s="218">
        <f>D28+NPV($C$13,E28:AG28)</f>
        <v>498023033.07597005</v>
      </c>
      <c r="D28" s="22">
        <f>D18</f>
        <v>16449405</v>
      </c>
      <c r="E28" s="22">
        <f t="shared" ref="E28:AF28" si="11">E18</f>
        <v>84840430</v>
      </c>
      <c r="F28" s="22">
        <f t="shared" si="11"/>
        <v>158558010</v>
      </c>
      <c r="G28" s="22">
        <f t="shared" si="11"/>
        <v>108315987.09999999</v>
      </c>
      <c r="H28" s="22">
        <f t="shared" si="11"/>
        <v>101091482.47</v>
      </c>
      <c r="I28" s="22">
        <f t="shared" si="11"/>
        <v>52449613.420000002</v>
      </c>
      <c r="J28" s="22">
        <f t="shared" si="11"/>
        <v>0</v>
      </c>
      <c r="K28" s="22">
        <f t="shared" si="11"/>
        <v>0</v>
      </c>
      <c r="L28" s="22">
        <f t="shared" si="11"/>
        <v>0</v>
      </c>
      <c r="M28" s="22">
        <f t="shared" si="11"/>
        <v>0</v>
      </c>
      <c r="N28" s="22">
        <f t="shared" si="11"/>
        <v>0</v>
      </c>
      <c r="O28" s="22">
        <f t="shared" si="11"/>
        <v>0</v>
      </c>
      <c r="P28" s="22">
        <f t="shared" si="11"/>
        <v>0</v>
      </c>
      <c r="Q28" s="22">
        <f t="shared" si="11"/>
        <v>0</v>
      </c>
      <c r="R28" s="22">
        <f t="shared" si="11"/>
        <v>0</v>
      </c>
      <c r="S28" s="22">
        <f t="shared" si="11"/>
        <v>20854470.649999999</v>
      </c>
      <c r="T28" s="22">
        <f t="shared" si="11"/>
        <v>0</v>
      </c>
      <c r="U28" s="22">
        <f t="shared" si="11"/>
        <v>0</v>
      </c>
      <c r="V28" s="22">
        <f t="shared" si="11"/>
        <v>0</v>
      </c>
      <c r="W28" s="22">
        <f t="shared" si="11"/>
        <v>0</v>
      </c>
      <c r="X28" s="22">
        <f t="shared" si="11"/>
        <v>20854470.649999999</v>
      </c>
      <c r="Y28" s="22">
        <f t="shared" si="11"/>
        <v>42000000</v>
      </c>
      <c r="Z28" s="22">
        <f t="shared" si="11"/>
        <v>0</v>
      </c>
      <c r="AA28" s="22">
        <f t="shared" si="11"/>
        <v>0</v>
      </c>
      <c r="AB28" s="22">
        <f t="shared" si="11"/>
        <v>0</v>
      </c>
      <c r="AC28" s="22">
        <f t="shared" si="11"/>
        <v>20854470.649999999</v>
      </c>
      <c r="AD28" s="22">
        <f t="shared" si="11"/>
        <v>0</v>
      </c>
      <c r="AE28" s="22">
        <f t="shared" si="11"/>
        <v>0</v>
      </c>
      <c r="AF28" s="22">
        <f t="shared" si="11"/>
        <v>0</v>
      </c>
      <c r="AG28" s="22">
        <f>AG18</f>
        <v>0</v>
      </c>
    </row>
    <row r="29" spans="1:34" s="51" customFormat="1" ht="13.5" x14ac:dyDescent="0.25">
      <c r="A29" s="59" t="s">
        <v>253</v>
      </c>
      <c r="B29" s="7" t="s">
        <v>254</v>
      </c>
      <c r="C29" s="205">
        <f>NPV($C$13,E29:AG29)+D29</f>
        <v>323697285.25894874</v>
      </c>
      <c r="D29" s="130">
        <f>D19</f>
        <v>0</v>
      </c>
      <c r="E29" s="130">
        <f t="shared" ref="E29:F29" si="12">E19</f>
        <v>2142000</v>
      </c>
      <c r="F29" s="130">
        <f t="shared" si="12"/>
        <v>2148556</v>
      </c>
      <c r="G29" s="130">
        <f>G19+100000*3.67-300000-486000</f>
        <v>1844076</v>
      </c>
      <c r="H29" s="130">
        <f t="shared" ref="H29:AG29" si="13">H19+100000*3.67-300000-486000</f>
        <v>4754076</v>
      </c>
      <c r="I29" s="130">
        <f t="shared" si="13"/>
        <v>8354918</v>
      </c>
      <c r="J29" s="130">
        <f t="shared" si="13"/>
        <v>28261123.625</v>
      </c>
      <c r="K29" s="130">
        <f t="shared" si="13"/>
        <v>28261123.625</v>
      </c>
      <c r="L29" s="130">
        <f t="shared" si="13"/>
        <v>28261123.625</v>
      </c>
      <c r="M29" s="130">
        <f t="shared" si="13"/>
        <v>28261123.625</v>
      </c>
      <c r="N29" s="130">
        <f t="shared" si="13"/>
        <v>28261123.625</v>
      </c>
      <c r="O29" s="130">
        <f t="shared" si="13"/>
        <v>28261123.625</v>
      </c>
      <c r="P29" s="130">
        <f t="shared" si="13"/>
        <v>28261123.625</v>
      </c>
      <c r="Q29" s="130">
        <f t="shared" si="13"/>
        <v>28261123.625</v>
      </c>
      <c r="R29" s="130">
        <f t="shared" si="13"/>
        <v>28261123.625</v>
      </c>
      <c r="S29" s="130">
        <f t="shared" si="13"/>
        <v>28261123.625</v>
      </c>
      <c r="T29" s="130">
        <f t="shared" si="13"/>
        <v>28782485.391249999</v>
      </c>
      <c r="U29" s="130">
        <f t="shared" si="13"/>
        <v>28782485.391249999</v>
      </c>
      <c r="V29" s="130">
        <f t="shared" si="13"/>
        <v>28782485.391249999</v>
      </c>
      <c r="W29" s="130">
        <f t="shared" si="13"/>
        <v>28782485.391249999</v>
      </c>
      <c r="X29" s="130">
        <f t="shared" si="13"/>
        <v>27812485.391249999</v>
      </c>
      <c r="Y29" s="130">
        <f t="shared" si="13"/>
        <v>26393847.157499999</v>
      </c>
      <c r="Z29" s="130">
        <f t="shared" si="13"/>
        <v>28913847.157499999</v>
      </c>
      <c r="AA29" s="130">
        <f t="shared" si="13"/>
        <v>28913847.157499999</v>
      </c>
      <c r="AB29" s="130">
        <f t="shared" si="13"/>
        <v>28913847.157499999</v>
      </c>
      <c r="AC29" s="130">
        <f t="shared" si="13"/>
        <v>28913847.157499999</v>
      </c>
      <c r="AD29" s="130">
        <f t="shared" si="13"/>
        <v>29435208.923750002</v>
      </c>
      <c r="AE29" s="130">
        <f t="shared" si="13"/>
        <v>29435208.923750002</v>
      </c>
      <c r="AF29" s="130">
        <f t="shared" si="13"/>
        <v>29435208.923750002</v>
      </c>
      <c r="AG29" s="130">
        <f t="shared" si="13"/>
        <v>29435208.923750002</v>
      </c>
    </row>
    <row r="30" spans="1:34" s="51" customFormat="1" ht="15.75" x14ac:dyDescent="0.25">
      <c r="A30" s="59" t="s">
        <v>255</v>
      </c>
      <c r="B30" s="7" t="s">
        <v>371</v>
      </c>
      <c r="C30" s="205">
        <f>NPV($C$13,E30:AG30)+D30</f>
        <v>33572465.657831199</v>
      </c>
      <c r="D30" s="130">
        <f>D20</f>
        <v>0</v>
      </c>
      <c r="E30" s="130">
        <f t="shared" ref="E30:AG30" si="14">E20</f>
        <v>0</v>
      </c>
      <c r="F30" s="130">
        <f t="shared" si="14"/>
        <v>0</v>
      </c>
      <c r="G30" s="130">
        <f t="shared" si="14"/>
        <v>0</v>
      </c>
      <c r="H30" s="130">
        <f t="shared" si="14"/>
        <v>0</v>
      </c>
      <c r="I30" s="130">
        <f t="shared" si="14"/>
        <v>0</v>
      </c>
      <c r="J30" s="130">
        <f t="shared" si="14"/>
        <v>3105227.28</v>
      </c>
      <c r="K30" s="130">
        <f t="shared" si="14"/>
        <v>3105227.28</v>
      </c>
      <c r="L30" s="130">
        <f t="shared" si="14"/>
        <v>3105227.28</v>
      </c>
      <c r="M30" s="130">
        <f t="shared" si="14"/>
        <v>3105227.28</v>
      </c>
      <c r="N30" s="130">
        <f t="shared" si="14"/>
        <v>3105227.28</v>
      </c>
      <c r="O30" s="130">
        <f t="shared" si="14"/>
        <v>3105227.28</v>
      </c>
      <c r="P30" s="130">
        <f t="shared" si="14"/>
        <v>3105227.28</v>
      </c>
      <c r="Q30" s="130">
        <f t="shared" si="14"/>
        <v>3105227.28</v>
      </c>
      <c r="R30" s="130">
        <f t="shared" si="14"/>
        <v>3105227.28</v>
      </c>
      <c r="S30" s="130">
        <f t="shared" si="14"/>
        <v>3105227.28</v>
      </c>
      <c r="T30" s="130">
        <f t="shared" si="14"/>
        <v>3105227.28</v>
      </c>
      <c r="U30" s="130">
        <f t="shared" si="14"/>
        <v>3105227.28</v>
      </c>
      <c r="V30" s="130">
        <f t="shared" si="14"/>
        <v>3105227.28</v>
      </c>
      <c r="W30" s="130">
        <f t="shared" si="14"/>
        <v>3105227.28</v>
      </c>
      <c r="X30" s="130">
        <f t="shared" si="14"/>
        <v>3105227.28</v>
      </c>
      <c r="Y30" s="130">
        <f t="shared" si="14"/>
        <v>3105227.28</v>
      </c>
      <c r="Z30" s="130">
        <f t="shared" si="14"/>
        <v>3105227.28</v>
      </c>
      <c r="AA30" s="130">
        <f t="shared" si="14"/>
        <v>3105227.28</v>
      </c>
      <c r="AB30" s="130">
        <f t="shared" si="14"/>
        <v>3105227.28</v>
      </c>
      <c r="AC30" s="130">
        <f t="shared" si="14"/>
        <v>3105227.28</v>
      </c>
      <c r="AD30" s="130">
        <f t="shared" si="14"/>
        <v>3105227.28</v>
      </c>
      <c r="AE30" s="130">
        <f t="shared" si="14"/>
        <v>3105227.28</v>
      </c>
      <c r="AF30" s="130">
        <f t="shared" si="14"/>
        <v>3105227.28</v>
      </c>
      <c r="AG30" s="130">
        <f t="shared" si="14"/>
        <v>3105227.28</v>
      </c>
    </row>
    <row r="31" spans="1:34" s="1" customFormat="1" ht="15.75" x14ac:dyDescent="0.25">
      <c r="A31" s="125" t="s">
        <v>256</v>
      </c>
      <c r="B31" s="317" t="s">
        <v>372</v>
      </c>
      <c r="C31" s="446">
        <f>(C29+C28)/C30</f>
        <v>24.476019328155665</v>
      </c>
      <c r="D31" s="377"/>
      <c r="E31" s="106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</row>
    <row r="32" spans="1:34" s="1" customFormat="1" ht="13.5" x14ac:dyDescent="0.25">
      <c r="A32" s="376" t="s">
        <v>441</v>
      </c>
      <c r="B32" s="373"/>
      <c r="C32" s="219"/>
      <c r="D32" s="21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4" s="1" customFormat="1" ht="13.5" x14ac:dyDescent="0.25">
      <c r="A33" s="21" t="s">
        <v>245</v>
      </c>
      <c r="B33" s="2" t="s">
        <v>252</v>
      </c>
      <c r="C33" s="218">
        <f>D33+NPV($C$13,E33:AG33)</f>
        <v>497465209.94671839</v>
      </c>
      <c r="D33" s="22">
        <f>D23</f>
        <v>16449405</v>
      </c>
      <c r="E33" s="22">
        <f t="shared" ref="E33:AG33" si="15">E23</f>
        <v>84540430</v>
      </c>
      <c r="F33" s="22">
        <f t="shared" si="15"/>
        <v>158258010</v>
      </c>
      <c r="G33" s="22">
        <f t="shared" si="15"/>
        <v>108315987.09999999</v>
      </c>
      <c r="H33" s="22">
        <f t="shared" si="15"/>
        <v>101091482.47</v>
      </c>
      <c r="I33" s="22">
        <f t="shared" si="15"/>
        <v>52449613.420000002</v>
      </c>
      <c r="J33" s="22">
        <f t="shared" si="15"/>
        <v>0</v>
      </c>
      <c r="K33" s="22">
        <f t="shared" si="15"/>
        <v>0</v>
      </c>
      <c r="L33" s="22">
        <f t="shared" si="15"/>
        <v>0</v>
      </c>
      <c r="M33" s="22">
        <f t="shared" si="15"/>
        <v>0</v>
      </c>
      <c r="N33" s="22">
        <f t="shared" si="15"/>
        <v>0</v>
      </c>
      <c r="O33" s="22">
        <f t="shared" si="15"/>
        <v>0</v>
      </c>
      <c r="P33" s="22">
        <f t="shared" si="15"/>
        <v>0</v>
      </c>
      <c r="Q33" s="22">
        <f t="shared" si="15"/>
        <v>0</v>
      </c>
      <c r="R33" s="22">
        <f t="shared" si="15"/>
        <v>0</v>
      </c>
      <c r="S33" s="22">
        <f t="shared" si="15"/>
        <v>20854470.649999999</v>
      </c>
      <c r="T33" s="22">
        <f t="shared" si="15"/>
        <v>0</v>
      </c>
      <c r="U33" s="22">
        <f t="shared" si="15"/>
        <v>0</v>
      </c>
      <c r="V33" s="22">
        <f t="shared" si="15"/>
        <v>0</v>
      </c>
      <c r="W33" s="22">
        <f t="shared" si="15"/>
        <v>0</v>
      </c>
      <c r="X33" s="22">
        <f t="shared" si="15"/>
        <v>20854470.649999999</v>
      </c>
      <c r="Y33" s="22">
        <f t="shared" si="15"/>
        <v>42000000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20854470.649999999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</row>
    <row r="34" spans="1:34" s="51" customFormat="1" ht="13.5" x14ac:dyDescent="0.25">
      <c r="A34" s="59" t="s">
        <v>253</v>
      </c>
      <c r="B34" s="7" t="s">
        <v>254</v>
      </c>
      <c r="C34" s="205">
        <f>NPV($C$13,E34:AG34)+D34</f>
        <v>327978514.39735222</v>
      </c>
      <c r="D34" s="130">
        <f>D24</f>
        <v>0</v>
      </c>
      <c r="E34" s="130">
        <f t="shared" ref="E34:F34" si="16">E24</f>
        <v>2142000</v>
      </c>
      <c r="F34" s="130">
        <f t="shared" si="16"/>
        <v>2148556</v>
      </c>
      <c r="G34" s="130">
        <f>G24+100000*6.36-300000-486000</f>
        <v>2188396</v>
      </c>
      <c r="H34" s="130">
        <f t="shared" ref="H34:AG34" si="17">H24+100000*6.36-300000-486000</f>
        <v>5098396</v>
      </c>
      <c r="I34" s="130">
        <f t="shared" si="17"/>
        <v>8699238</v>
      </c>
      <c r="J34" s="130">
        <f t="shared" si="17"/>
        <v>28578443.625</v>
      </c>
      <c r="K34" s="130">
        <f t="shared" si="17"/>
        <v>28578443.625</v>
      </c>
      <c r="L34" s="130">
        <f t="shared" si="17"/>
        <v>28578443.625</v>
      </c>
      <c r="M34" s="130">
        <f t="shared" si="17"/>
        <v>28578443.625</v>
      </c>
      <c r="N34" s="130">
        <f t="shared" si="17"/>
        <v>28578443.625</v>
      </c>
      <c r="O34" s="130">
        <f t="shared" si="17"/>
        <v>28578443.625</v>
      </c>
      <c r="P34" s="130">
        <f t="shared" si="17"/>
        <v>28578443.625</v>
      </c>
      <c r="Q34" s="130">
        <f t="shared" si="17"/>
        <v>28578443.625</v>
      </c>
      <c r="R34" s="130">
        <f t="shared" si="17"/>
        <v>28578443.625</v>
      </c>
      <c r="S34" s="130">
        <f t="shared" si="17"/>
        <v>28578443.625</v>
      </c>
      <c r="T34" s="130">
        <f t="shared" si="17"/>
        <v>29099805.391249999</v>
      </c>
      <c r="U34" s="130">
        <f t="shared" si="17"/>
        <v>29099805.391249999</v>
      </c>
      <c r="V34" s="130">
        <f t="shared" si="17"/>
        <v>29099805.391249999</v>
      </c>
      <c r="W34" s="130">
        <f t="shared" si="17"/>
        <v>29099805.391249999</v>
      </c>
      <c r="X34" s="130">
        <f t="shared" si="17"/>
        <v>28129805.391249999</v>
      </c>
      <c r="Y34" s="130">
        <f t="shared" si="17"/>
        <v>26711167.157499999</v>
      </c>
      <c r="Z34" s="130">
        <f t="shared" si="17"/>
        <v>29231167.157499999</v>
      </c>
      <c r="AA34" s="130">
        <f t="shared" si="17"/>
        <v>29231167.157499999</v>
      </c>
      <c r="AB34" s="130">
        <f t="shared" si="17"/>
        <v>29231167.157499999</v>
      </c>
      <c r="AC34" s="130">
        <f t="shared" si="17"/>
        <v>29231167.157499999</v>
      </c>
      <c r="AD34" s="130">
        <f t="shared" si="17"/>
        <v>29752528.923750002</v>
      </c>
      <c r="AE34" s="130">
        <f t="shared" si="17"/>
        <v>29752528.923750002</v>
      </c>
      <c r="AF34" s="130">
        <f t="shared" si="17"/>
        <v>29752528.923750002</v>
      </c>
      <c r="AG34" s="130">
        <f t="shared" si="17"/>
        <v>29752528.923750002</v>
      </c>
    </row>
    <row r="35" spans="1:34" s="51" customFormat="1" ht="15.75" x14ac:dyDescent="0.25">
      <c r="A35" s="59" t="s">
        <v>255</v>
      </c>
      <c r="B35" s="7" t="s">
        <v>371</v>
      </c>
      <c r="C35" s="205">
        <f>NPV($C$13,E35:AG35)+D35</f>
        <v>33572465.657831199</v>
      </c>
      <c r="D35" s="130">
        <f>D20</f>
        <v>0</v>
      </c>
      <c r="E35" s="130">
        <f t="shared" ref="E35:AG35" si="18">E20</f>
        <v>0</v>
      </c>
      <c r="F35" s="130">
        <f t="shared" si="18"/>
        <v>0</v>
      </c>
      <c r="G35" s="130">
        <f t="shared" si="18"/>
        <v>0</v>
      </c>
      <c r="H35" s="130">
        <f t="shared" si="18"/>
        <v>0</v>
      </c>
      <c r="I35" s="130">
        <f t="shared" si="18"/>
        <v>0</v>
      </c>
      <c r="J35" s="130">
        <f t="shared" si="18"/>
        <v>3105227.28</v>
      </c>
      <c r="K35" s="130">
        <f t="shared" si="18"/>
        <v>3105227.28</v>
      </c>
      <c r="L35" s="130">
        <f t="shared" si="18"/>
        <v>3105227.28</v>
      </c>
      <c r="M35" s="130">
        <f t="shared" si="18"/>
        <v>3105227.28</v>
      </c>
      <c r="N35" s="130">
        <f t="shared" si="18"/>
        <v>3105227.28</v>
      </c>
      <c r="O35" s="130">
        <f t="shared" si="18"/>
        <v>3105227.28</v>
      </c>
      <c r="P35" s="130">
        <f t="shared" si="18"/>
        <v>3105227.28</v>
      </c>
      <c r="Q35" s="130">
        <f t="shared" si="18"/>
        <v>3105227.28</v>
      </c>
      <c r="R35" s="130">
        <f t="shared" si="18"/>
        <v>3105227.28</v>
      </c>
      <c r="S35" s="130">
        <f t="shared" si="18"/>
        <v>3105227.28</v>
      </c>
      <c r="T35" s="130">
        <f t="shared" si="18"/>
        <v>3105227.28</v>
      </c>
      <c r="U35" s="130">
        <f t="shared" si="18"/>
        <v>3105227.28</v>
      </c>
      <c r="V35" s="130">
        <f t="shared" si="18"/>
        <v>3105227.28</v>
      </c>
      <c r="W35" s="130">
        <f t="shared" si="18"/>
        <v>3105227.28</v>
      </c>
      <c r="X35" s="130">
        <f t="shared" si="18"/>
        <v>3105227.28</v>
      </c>
      <c r="Y35" s="130">
        <f t="shared" si="18"/>
        <v>3105227.28</v>
      </c>
      <c r="Z35" s="130">
        <f t="shared" si="18"/>
        <v>3105227.28</v>
      </c>
      <c r="AA35" s="130">
        <f t="shared" si="18"/>
        <v>3105227.28</v>
      </c>
      <c r="AB35" s="130">
        <f t="shared" si="18"/>
        <v>3105227.28</v>
      </c>
      <c r="AC35" s="130">
        <f t="shared" si="18"/>
        <v>3105227.28</v>
      </c>
      <c r="AD35" s="130">
        <f t="shared" si="18"/>
        <v>3105227.28</v>
      </c>
      <c r="AE35" s="130">
        <f t="shared" si="18"/>
        <v>3105227.28</v>
      </c>
      <c r="AF35" s="130">
        <f t="shared" si="18"/>
        <v>3105227.28</v>
      </c>
      <c r="AG35" s="130">
        <f t="shared" si="18"/>
        <v>3105227.28</v>
      </c>
    </row>
    <row r="36" spans="1:34" s="1" customFormat="1" ht="15.75" x14ac:dyDescent="0.25">
      <c r="A36" s="125" t="s">
        <v>256</v>
      </c>
      <c r="B36" s="317" t="s">
        <v>372</v>
      </c>
      <c r="C36" s="446">
        <f>(C34+C33)/C35</f>
        <v>24.58692586826805</v>
      </c>
      <c r="D36" s="377"/>
      <c r="E36" s="106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</row>
    <row r="37" spans="1:34" s="1" customFormat="1" ht="13.5" x14ac:dyDescent="0.25">
      <c r="A37" s="21" t="s">
        <v>258</v>
      </c>
      <c r="B37" s="21"/>
      <c r="C37" s="4">
        <v>0.05</v>
      </c>
      <c r="D37" s="378"/>
    </row>
    <row r="39" spans="1:34" ht="15.75" x14ac:dyDescent="0.2">
      <c r="A39" s="233" t="s">
        <v>435</v>
      </c>
      <c r="H39" s="12">
        <v>5</v>
      </c>
      <c r="I39" s="12">
        <v>6</v>
      </c>
      <c r="J39" s="12">
        <v>7</v>
      </c>
      <c r="K39" s="12">
        <v>8</v>
      </c>
      <c r="L39" s="12">
        <v>9</v>
      </c>
      <c r="M39" s="12">
        <v>10</v>
      </c>
      <c r="N39" s="12">
        <v>11</v>
      </c>
      <c r="O39" s="12">
        <v>12</v>
      </c>
      <c r="P39" s="12">
        <v>13</v>
      </c>
      <c r="Q39" s="12">
        <v>14</v>
      </c>
      <c r="R39" s="12">
        <v>15</v>
      </c>
      <c r="S39" s="12">
        <v>16</v>
      </c>
      <c r="T39" s="12">
        <v>17</v>
      </c>
      <c r="U39" s="12">
        <v>18</v>
      </c>
      <c r="V39" s="12">
        <v>19</v>
      </c>
      <c r="W39" s="12">
        <v>20</v>
      </c>
      <c r="X39" s="12">
        <v>21</v>
      </c>
      <c r="Y39" s="12">
        <v>22</v>
      </c>
      <c r="Z39" s="12">
        <v>23</v>
      </c>
      <c r="AA39" s="12">
        <v>24</v>
      </c>
      <c r="AB39" s="12">
        <v>25</v>
      </c>
      <c r="AC39" s="12">
        <v>26</v>
      </c>
      <c r="AD39" s="12">
        <v>27</v>
      </c>
      <c r="AE39" s="12">
        <v>28</v>
      </c>
      <c r="AF39" s="12">
        <v>29</v>
      </c>
      <c r="AG39" s="12">
        <v>30</v>
      </c>
    </row>
    <row r="40" spans="1:34" s="1" customFormat="1" ht="13.5" x14ac:dyDescent="0.25">
      <c r="A40" s="184" t="s">
        <v>250</v>
      </c>
      <c r="B40" s="372"/>
      <c r="C40" s="488" t="s">
        <v>366</v>
      </c>
      <c r="D40" s="488">
        <v>2015</v>
      </c>
      <c r="E40" s="488">
        <v>2016</v>
      </c>
      <c r="F40" s="488">
        <v>2017</v>
      </c>
      <c r="G40" s="488">
        <v>2018</v>
      </c>
      <c r="H40" s="488">
        <v>2019</v>
      </c>
      <c r="I40" s="488">
        <v>2020</v>
      </c>
      <c r="J40" s="488">
        <v>2021</v>
      </c>
      <c r="K40" s="488">
        <v>2022</v>
      </c>
      <c r="L40" s="488">
        <v>2023</v>
      </c>
      <c r="M40" s="488">
        <v>2024</v>
      </c>
      <c r="N40" s="488">
        <v>2025</v>
      </c>
      <c r="O40" s="488">
        <v>2026</v>
      </c>
      <c r="P40" s="488">
        <v>2027</v>
      </c>
      <c r="Q40" s="488">
        <v>2028</v>
      </c>
      <c r="R40" s="488">
        <v>2029</v>
      </c>
      <c r="S40" s="488">
        <v>2030</v>
      </c>
      <c r="T40" s="488">
        <v>2031</v>
      </c>
      <c r="U40" s="488">
        <v>2032</v>
      </c>
      <c r="V40" s="488">
        <v>2033</v>
      </c>
      <c r="W40" s="488">
        <v>2034</v>
      </c>
      <c r="X40" s="488">
        <v>2035</v>
      </c>
      <c r="Y40" s="488">
        <v>2036</v>
      </c>
      <c r="Z40" s="488">
        <v>2037</v>
      </c>
      <c r="AA40" s="488">
        <v>2038</v>
      </c>
      <c r="AB40" s="488">
        <v>2039</v>
      </c>
      <c r="AC40" s="488">
        <v>2040</v>
      </c>
      <c r="AD40" s="488">
        <v>2041</v>
      </c>
      <c r="AE40" s="488">
        <v>2042</v>
      </c>
      <c r="AF40" s="488">
        <v>2043</v>
      </c>
      <c r="AG40" s="488">
        <v>2044</v>
      </c>
    </row>
    <row r="41" spans="1:34" s="1" customFormat="1" ht="15" customHeight="1" x14ac:dyDescent="0.25">
      <c r="A41" s="184" t="s">
        <v>251</v>
      </c>
      <c r="B41" s="373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</row>
    <row r="42" spans="1:34" s="1" customFormat="1" ht="13.5" x14ac:dyDescent="0.25">
      <c r="A42" s="21" t="s">
        <v>245</v>
      </c>
      <c r="B42" s="2" t="s">
        <v>252</v>
      </c>
      <c r="C42" s="218">
        <f>D42+NPV($C$13,E42:AG42)</f>
        <v>498023033.07597005</v>
      </c>
      <c r="D42" s="374">
        <f>D18</f>
        <v>16449405</v>
      </c>
      <c r="E42" s="374">
        <f t="shared" ref="E42:AG42" si="19">E18</f>
        <v>84840430</v>
      </c>
      <c r="F42" s="374">
        <f t="shared" si="19"/>
        <v>158558010</v>
      </c>
      <c r="G42" s="374">
        <f t="shared" si="19"/>
        <v>108315987.09999999</v>
      </c>
      <c r="H42" s="374">
        <f t="shared" si="19"/>
        <v>101091482.47</v>
      </c>
      <c r="I42" s="374">
        <f t="shared" si="19"/>
        <v>52449613.420000002</v>
      </c>
      <c r="J42" s="374">
        <f t="shared" si="19"/>
        <v>0</v>
      </c>
      <c r="K42" s="374">
        <f t="shared" si="19"/>
        <v>0</v>
      </c>
      <c r="L42" s="374">
        <f t="shared" si="19"/>
        <v>0</v>
      </c>
      <c r="M42" s="374">
        <f t="shared" si="19"/>
        <v>0</v>
      </c>
      <c r="N42" s="374">
        <f t="shared" si="19"/>
        <v>0</v>
      </c>
      <c r="O42" s="374">
        <f t="shared" si="19"/>
        <v>0</v>
      </c>
      <c r="P42" s="374">
        <f t="shared" si="19"/>
        <v>0</v>
      </c>
      <c r="Q42" s="374">
        <f t="shared" si="19"/>
        <v>0</v>
      </c>
      <c r="R42" s="374">
        <f t="shared" si="19"/>
        <v>0</v>
      </c>
      <c r="S42" s="374">
        <f t="shared" si="19"/>
        <v>20854470.649999999</v>
      </c>
      <c r="T42" s="374">
        <f t="shared" si="19"/>
        <v>0</v>
      </c>
      <c r="U42" s="374">
        <f t="shared" si="19"/>
        <v>0</v>
      </c>
      <c r="V42" s="374">
        <f t="shared" si="19"/>
        <v>0</v>
      </c>
      <c r="W42" s="374">
        <f t="shared" si="19"/>
        <v>0</v>
      </c>
      <c r="X42" s="374">
        <f t="shared" si="19"/>
        <v>20854470.649999999</v>
      </c>
      <c r="Y42" s="374">
        <f t="shared" si="19"/>
        <v>42000000</v>
      </c>
      <c r="Z42" s="374">
        <f t="shared" si="19"/>
        <v>0</v>
      </c>
      <c r="AA42" s="374">
        <f t="shared" si="19"/>
        <v>0</v>
      </c>
      <c r="AB42" s="374">
        <f t="shared" si="19"/>
        <v>0</v>
      </c>
      <c r="AC42" s="374">
        <f t="shared" si="19"/>
        <v>20854470.649999999</v>
      </c>
      <c r="AD42" s="374">
        <f t="shared" si="19"/>
        <v>0</v>
      </c>
      <c r="AE42" s="374">
        <f t="shared" si="19"/>
        <v>0</v>
      </c>
      <c r="AF42" s="374">
        <f t="shared" si="19"/>
        <v>0</v>
      </c>
      <c r="AG42" s="374">
        <f t="shared" si="19"/>
        <v>0</v>
      </c>
    </row>
    <row r="43" spans="1:34" s="51" customFormat="1" ht="13.5" x14ac:dyDescent="0.25">
      <c r="A43" s="59" t="s">
        <v>253</v>
      </c>
      <c r="B43" s="7" t="s">
        <v>254</v>
      </c>
      <c r="C43" s="205">
        <f>NPV($C$13,E43:AG43)+D43</f>
        <v>329262302.11770433</v>
      </c>
      <c r="D43" s="374">
        <f>D19</f>
        <v>0</v>
      </c>
      <c r="E43" s="374">
        <f t="shared" ref="E43:AG43" si="20">E19</f>
        <v>2142000</v>
      </c>
      <c r="F43" s="374">
        <f t="shared" si="20"/>
        <v>2148556</v>
      </c>
      <c r="G43" s="374">
        <f t="shared" si="20"/>
        <v>2263076</v>
      </c>
      <c r="H43" s="374">
        <f t="shared" si="20"/>
        <v>5173076</v>
      </c>
      <c r="I43" s="374">
        <f t="shared" si="20"/>
        <v>8773918</v>
      </c>
      <c r="J43" s="374">
        <f t="shared" si="20"/>
        <v>28680123.625</v>
      </c>
      <c r="K43" s="374">
        <f t="shared" si="20"/>
        <v>28680123.625</v>
      </c>
      <c r="L43" s="374">
        <f t="shared" si="20"/>
        <v>28680123.625</v>
      </c>
      <c r="M43" s="374">
        <f t="shared" si="20"/>
        <v>28680123.625</v>
      </c>
      <c r="N43" s="374">
        <f t="shared" si="20"/>
        <v>28680123.625</v>
      </c>
      <c r="O43" s="374">
        <f t="shared" si="20"/>
        <v>28680123.625</v>
      </c>
      <c r="P43" s="374">
        <f t="shared" si="20"/>
        <v>28680123.625</v>
      </c>
      <c r="Q43" s="374">
        <f t="shared" si="20"/>
        <v>28680123.625</v>
      </c>
      <c r="R43" s="374">
        <f t="shared" si="20"/>
        <v>28680123.625</v>
      </c>
      <c r="S43" s="374">
        <f t="shared" si="20"/>
        <v>28680123.625</v>
      </c>
      <c r="T43" s="374">
        <f t="shared" si="20"/>
        <v>29201485.391249999</v>
      </c>
      <c r="U43" s="374">
        <f t="shared" si="20"/>
        <v>29201485.391249999</v>
      </c>
      <c r="V43" s="374">
        <f t="shared" si="20"/>
        <v>29201485.391249999</v>
      </c>
      <c r="W43" s="374">
        <f t="shared" si="20"/>
        <v>29201485.391249999</v>
      </c>
      <c r="X43" s="374">
        <f t="shared" si="20"/>
        <v>28231485.391249999</v>
      </c>
      <c r="Y43" s="374">
        <f t="shared" si="20"/>
        <v>26812847.157499999</v>
      </c>
      <c r="Z43" s="374">
        <f t="shared" si="20"/>
        <v>29332847.157499999</v>
      </c>
      <c r="AA43" s="374">
        <f t="shared" si="20"/>
        <v>29332847.157499999</v>
      </c>
      <c r="AB43" s="374">
        <f t="shared" si="20"/>
        <v>29332847.157499999</v>
      </c>
      <c r="AC43" s="374">
        <f t="shared" si="20"/>
        <v>29332847.157499999</v>
      </c>
      <c r="AD43" s="374">
        <f t="shared" si="20"/>
        <v>29854208.923750002</v>
      </c>
      <c r="AE43" s="374">
        <f t="shared" si="20"/>
        <v>29854208.923750002</v>
      </c>
      <c r="AF43" s="374">
        <f t="shared" si="20"/>
        <v>29854208.923750002</v>
      </c>
      <c r="AG43" s="374">
        <f t="shared" si="20"/>
        <v>29854208.923750002</v>
      </c>
    </row>
    <row r="44" spans="1:34" s="51" customFormat="1" ht="15.75" x14ac:dyDescent="0.25">
      <c r="A44" s="59" t="s">
        <v>255</v>
      </c>
      <c r="B44" s="7" t="s">
        <v>371</v>
      </c>
      <c r="C44" s="205">
        <f>NPV($C$13,E44:AG44)+D44</f>
        <v>33572465.657831199</v>
      </c>
      <c r="D44" s="130">
        <f>D20</f>
        <v>0</v>
      </c>
      <c r="E44" s="130">
        <f t="shared" ref="E44:AG44" si="21">E20</f>
        <v>0</v>
      </c>
      <c r="F44" s="130">
        <f t="shared" si="21"/>
        <v>0</v>
      </c>
      <c r="G44" s="130">
        <f t="shared" si="21"/>
        <v>0</v>
      </c>
      <c r="H44" s="130">
        <f t="shared" si="21"/>
        <v>0</v>
      </c>
      <c r="I44" s="130">
        <f t="shared" si="21"/>
        <v>0</v>
      </c>
      <c r="J44" s="130">
        <f t="shared" si="21"/>
        <v>3105227.28</v>
      </c>
      <c r="K44" s="130">
        <f t="shared" si="21"/>
        <v>3105227.28</v>
      </c>
      <c r="L44" s="130">
        <f t="shared" si="21"/>
        <v>3105227.28</v>
      </c>
      <c r="M44" s="130">
        <f t="shared" si="21"/>
        <v>3105227.28</v>
      </c>
      <c r="N44" s="130">
        <f t="shared" si="21"/>
        <v>3105227.28</v>
      </c>
      <c r="O44" s="130">
        <f t="shared" si="21"/>
        <v>3105227.28</v>
      </c>
      <c r="P44" s="130">
        <f t="shared" si="21"/>
        <v>3105227.28</v>
      </c>
      <c r="Q44" s="130">
        <f t="shared" si="21"/>
        <v>3105227.28</v>
      </c>
      <c r="R44" s="130">
        <f t="shared" si="21"/>
        <v>3105227.28</v>
      </c>
      <c r="S44" s="130">
        <f t="shared" si="21"/>
        <v>3105227.28</v>
      </c>
      <c r="T44" s="130">
        <f t="shared" si="21"/>
        <v>3105227.28</v>
      </c>
      <c r="U44" s="130">
        <f t="shared" si="21"/>
        <v>3105227.28</v>
      </c>
      <c r="V44" s="130">
        <f t="shared" si="21"/>
        <v>3105227.28</v>
      </c>
      <c r="W44" s="130">
        <f t="shared" si="21"/>
        <v>3105227.28</v>
      </c>
      <c r="X44" s="130">
        <f t="shared" si="21"/>
        <v>3105227.28</v>
      </c>
      <c r="Y44" s="130">
        <f t="shared" si="21"/>
        <v>3105227.28</v>
      </c>
      <c r="Z44" s="130">
        <f t="shared" si="21"/>
        <v>3105227.28</v>
      </c>
      <c r="AA44" s="130">
        <f t="shared" si="21"/>
        <v>3105227.28</v>
      </c>
      <c r="AB44" s="130">
        <f t="shared" si="21"/>
        <v>3105227.28</v>
      </c>
      <c r="AC44" s="130">
        <f t="shared" si="21"/>
        <v>3105227.28</v>
      </c>
      <c r="AD44" s="130">
        <f t="shared" si="21"/>
        <v>3105227.28</v>
      </c>
      <c r="AE44" s="130">
        <f t="shared" si="21"/>
        <v>3105227.28</v>
      </c>
      <c r="AF44" s="130">
        <f t="shared" si="21"/>
        <v>3105227.28</v>
      </c>
      <c r="AG44" s="130">
        <f t="shared" si="21"/>
        <v>3105227.28</v>
      </c>
    </row>
    <row r="45" spans="1:34" s="1" customFormat="1" ht="15.75" x14ac:dyDescent="0.25">
      <c r="A45" s="125" t="s">
        <v>256</v>
      </c>
      <c r="B45" s="317" t="s">
        <v>372</v>
      </c>
      <c r="C45" s="375">
        <f>(C43+C42)/C44</f>
        <v>24.641780667089598</v>
      </c>
      <c r="D45" s="22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4" s="1" customFormat="1" ht="13.5" x14ac:dyDescent="0.25">
      <c r="A46" s="376" t="s">
        <v>257</v>
      </c>
      <c r="B46" s="373"/>
      <c r="C46" s="219"/>
      <c r="D46" s="219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4" s="1" customFormat="1" ht="13.5" x14ac:dyDescent="0.25">
      <c r="A47" s="21" t="s">
        <v>245</v>
      </c>
      <c r="B47" s="2" t="s">
        <v>252</v>
      </c>
      <c r="C47" s="218">
        <f>D47+NPV($C$13,E47:AG47)</f>
        <v>1216462043.6645885</v>
      </c>
      <c r="D47" s="22">
        <f>D42*(950.1/375)</f>
        <v>41676212.507999994</v>
      </c>
      <c r="E47" s="22">
        <f>E42*(950.1/375)</f>
        <v>214951713.44799998</v>
      </c>
      <c r="F47" s="22">
        <f t="shared" ref="F47:AG47" si="22">F42*(950.1/375)</f>
        <v>401722574.13599998</v>
      </c>
      <c r="G47" s="22">
        <f t="shared" si="22"/>
        <v>274429384.91655999</v>
      </c>
      <c r="H47" s="22">
        <f t="shared" si="22"/>
        <v>256125379.98599198</v>
      </c>
      <c r="I47" s="22">
        <f t="shared" si="22"/>
        <v>132886340.560912</v>
      </c>
      <c r="J47" s="22">
        <f t="shared" si="22"/>
        <v>0</v>
      </c>
      <c r="K47" s="22">
        <f t="shared" si="22"/>
        <v>0</v>
      </c>
      <c r="L47" s="22">
        <f t="shared" si="22"/>
        <v>0</v>
      </c>
      <c r="M47" s="22">
        <f t="shared" si="22"/>
        <v>0</v>
      </c>
      <c r="N47" s="22">
        <f t="shared" si="22"/>
        <v>0</v>
      </c>
      <c r="O47" s="22">
        <f t="shared" si="22"/>
        <v>0</v>
      </c>
      <c r="P47" s="22">
        <f t="shared" si="22"/>
        <v>0</v>
      </c>
      <c r="Q47" s="22">
        <f t="shared" si="22"/>
        <v>0</v>
      </c>
      <c r="R47" s="22">
        <f t="shared" si="22"/>
        <v>0</v>
      </c>
      <c r="S47" s="22">
        <v>0</v>
      </c>
      <c r="T47" s="22">
        <f t="shared" si="22"/>
        <v>0</v>
      </c>
      <c r="U47" s="22">
        <f t="shared" si="22"/>
        <v>0</v>
      </c>
      <c r="V47" s="22">
        <f t="shared" si="22"/>
        <v>0</v>
      </c>
      <c r="W47" s="22">
        <f t="shared" si="22"/>
        <v>0</v>
      </c>
      <c r="X47" s="22">
        <v>0</v>
      </c>
      <c r="Y47" s="22">
        <f t="shared" si="22"/>
        <v>106411200</v>
      </c>
      <c r="Z47" s="22">
        <v>0</v>
      </c>
      <c r="AA47" s="22">
        <f t="shared" si="22"/>
        <v>0</v>
      </c>
      <c r="AB47" s="22">
        <f t="shared" si="22"/>
        <v>0</v>
      </c>
      <c r="AC47" s="22">
        <f t="shared" si="22"/>
        <v>52836886.838839993</v>
      </c>
      <c r="AD47" s="22">
        <f t="shared" si="22"/>
        <v>0</v>
      </c>
      <c r="AE47" s="22">
        <f t="shared" si="22"/>
        <v>0</v>
      </c>
      <c r="AF47" s="22">
        <f t="shared" si="22"/>
        <v>0</v>
      </c>
      <c r="AG47" s="22">
        <f t="shared" si="22"/>
        <v>0</v>
      </c>
    </row>
    <row r="48" spans="1:34" s="51" customFormat="1" ht="13.5" x14ac:dyDescent="0.25">
      <c r="A48" s="59" t="s">
        <v>253</v>
      </c>
      <c r="B48" s="7" t="s">
        <v>254</v>
      </c>
      <c r="C48" s="205">
        <f>NPV($C$13,E48:AG48)+D48</f>
        <v>164631151.05885217</v>
      </c>
      <c r="D48" s="130">
        <f>D43/2</f>
        <v>0</v>
      </c>
      <c r="E48" s="130">
        <f t="shared" ref="E48:AG48" si="23">E43/2</f>
        <v>1071000</v>
      </c>
      <c r="F48" s="130">
        <f t="shared" si="23"/>
        <v>1074278</v>
      </c>
      <c r="G48" s="130">
        <f t="shared" si="23"/>
        <v>1131538</v>
      </c>
      <c r="H48" s="130">
        <f t="shared" si="23"/>
        <v>2586538</v>
      </c>
      <c r="I48" s="130">
        <f t="shared" si="23"/>
        <v>4386959</v>
      </c>
      <c r="J48" s="130">
        <f t="shared" si="23"/>
        <v>14340061.8125</v>
      </c>
      <c r="K48" s="130">
        <f t="shared" si="23"/>
        <v>14340061.8125</v>
      </c>
      <c r="L48" s="130">
        <f t="shared" si="23"/>
        <v>14340061.8125</v>
      </c>
      <c r="M48" s="130">
        <f t="shared" si="23"/>
        <v>14340061.8125</v>
      </c>
      <c r="N48" s="130">
        <f t="shared" si="23"/>
        <v>14340061.8125</v>
      </c>
      <c r="O48" s="130">
        <f t="shared" si="23"/>
        <v>14340061.8125</v>
      </c>
      <c r="P48" s="130">
        <f t="shared" si="23"/>
        <v>14340061.8125</v>
      </c>
      <c r="Q48" s="130">
        <f t="shared" si="23"/>
        <v>14340061.8125</v>
      </c>
      <c r="R48" s="130">
        <f t="shared" si="23"/>
        <v>14340061.8125</v>
      </c>
      <c r="S48" s="130">
        <f t="shared" si="23"/>
        <v>14340061.8125</v>
      </c>
      <c r="T48" s="130">
        <f t="shared" si="23"/>
        <v>14600742.695625</v>
      </c>
      <c r="U48" s="130">
        <f t="shared" si="23"/>
        <v>14600742.695625</v>
      </c>
      <c r="V48" s="130">
        <f t="shared" si="23"/>
        <v>14600742.695625</v>
      </c>
      <c r="W48" s="130">
        <f t="shared" si="23"/>
        <v>14600742.695625</v>
      </c>
      <c r="X48" s="130">
        <f t="shared" si="23"/>
        <v>14115742.695625</v>
      </c>
      <c r="Y48" s="130">
        <f t="shared" si="23"/>
        <v>13406423.578749999</v>
      </c>
      <c r="Z48" s="130">
        <f t="shared" si="23"/>
        <v>14666423.578749999</v>
      </c>
      <c r="AA48" s="130">
        <f t="shared" si="23"/>
        <v>14666423.578749999</v>
      </c>
      <c r="AB48" s="130">
        <f t="shared" si="23"/>
        <v>14666423.578749999</v>
      </c>
      <c r="AC48" s="130">
        <f t="shared" si="23"/>
        <v>14666423.578749999</v>
      </c>
      <c r="AD48" s="130">
        <f t="shared" si="23"/>
        <v>14927104.461875001</v>
      </c>
      <c r="AE48" s="130">
        <f t="shared" si="23"/>
        <v>14927104.461875001</v>
      </c>
      <c r="AF48" s="130">
        <f t="shared" si="23"/>
        <v>14927104.461875001</v>
      </c>
      <c r="AG48" s="130">
        <f t="shared" si="23"/>
        <v>14927104.461875001</v>
      </c>
    </row>
    <row r="49" spans="1:34" s="51" customFormat="1" ht="15.75" x14ac:dyDescent="0.25">
      <c r="A49" s="59" t="s">
        <v>255</v>
      </c>
      <c r="B49" s="7" t="s">
        <v>371</v>
      </c>
      <c r="C49" s="205">
        <f>NPV($C$13,E49:AG49)+D49</f>
        <v>33572465.657831199</v>
      </c>
      <c r="D49" s="130">
        <f>D44</f>
        <v>0</v>
      </c>
      <c r="E49" s="130">
        <f t="shared" ref="E49:AG49" si="24">E44</f>
        <v>0</v>
      </c>
      <c r="F49" s="130">
        <f t="shared" si="24"/>
        <v>0</v>
      </c>
      <c r="G49" s="130">
        <f t="shared" si="24"/>
        <v>0</v>
      </c>
      <c r="H49" s="130">
        <f t="shared" si="24"/>
        <v>0</v>
      </c>
      <c r="I49" s="130">
        <f t="shared" si="24"/>
        <v>0</v>
      </c>
      <c r="J49" s="130">
        <f t="shared" si="24"/>
        <v>3105227.28</v>
      </c>
      <c r="K49" s="130">
        <f t="shared" si="24"/>
        <v>3105227.28</v>
      </c>
      <c r="L49" s="130">
        <f t="shared" si="24"/>
        <v>3105227.28</v>
      </c>
      <c r="M49" s="130">
        <f t="shared" si="24"/>
        <v>3105227.28</v>
      </c>
      <c r="N49" s="130">
        <f t="shared" si="24"/>
        <v>3105227.28</v>
      </c>
      <c r="O49" s="130">
        <f t="shared" si="24"/>
        <v>3105227.28</v>
      </c>
      <c r="P49" s="130">
        <f t="shared" si="24"/>
        <v>3105227.28</v>
      </c>
      <c r="Q49" s="130">
        <f t="shared" si="24"/>
        <v>3105227.28</v>
      </c>
      <c r="R49" s="130">
        <f t="shared" si="24"/>
        <v>3105227.28</v>
      </c>
      <c r="S49" s="130">
        <f t="shared" si="24"/>
        <v>3105227.28</v>
      </c>
      <c r="T49" s="130">
        <f t="shared" si="24"/>
        <v>3105227.28</v>
      </c>
      <c r="U49" s="130">
        <f t="shared" si="24"/>
        <v>3105227.28</v>
      </c>
      <c r="V49" s="130">
        <f t="shared" si="24"/>
        <v>3105227.28</v>
      </c>
      <c r="W49" s="130">
        <f t="shared" si="24"/>
        <v>3105227.28</v>
      </c>
      <c r="X49" s="130">
        <f t="shared" si="24"/>
        <v>3105227.28</v>
      </c>
      <c r="Y49" s="130">
        <f t="shared" si="24"/>
        <v>3105227.28</v>
      </c>
      <c r="Z49" s="130">
        <f t="shared" si="24"/>
        <v>3105227.28</v>
      </c>
      <c r="AA49" s="130">
        <f t="shared" si="24"/>
        <v>3105227.28</v>
      </c>
      <c r="AB49" s="130">
        <f t="shared" si="24"/>
        <v>3105227.28</v>
      </c>
      <c r="AC49" s="130">
        <f t="shared" si="24"/>
        <v>3105227.28</v>
      </c>
      <c r="AD49" s="130">
        <f t="shared" si="24"/>
        <v>3105227.28</v>
      </c>
      <c r="AE49" s="130">
        <f t="shared" si="24"/>
        <v>3105227.28</v>
      </c>
      <c r="AF49" s="130">
        <f t="shared" si="24"/>
        <v>3105227.28</v>
      </c>
      <c r="AG49" s="130">
        <f t="shared" si="24"/>
        <v>3105227.28</v>
      </c>
    </row>
    <row r="50" spans="1:34" s="1" customFormat="1" ht="15.75" x14ac:dyDescent="0.25">
      <c r="A50" s="125" t="s">
        <v>256</v>
      </c>
      <c r="B50" s="317" t="s">
        <v>372</v>
      </c>
      <c r="C50" s="23">
        <f>(C48+C47)/C49</f>
        <v>41.137675403393651</v>
      </c>
      <c r="D50" s="377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</row>
    <row r="51" spans="1:34" s="1" customFormat="1" ht="13.5" x14ac:dyDescent="0.25">
      <c r="A51" s="21" t="s">
        <v>258</v>
      </c>
      <c r="B51" s="21"/>
      <c r="C51" s="4">
        <v>0.05</v>
      </c>
      <c r="D51" s="378"/>
    </row>
    <row r="53" spans="1:34" ht="15.75" x14ac:dyDescent="0.2">
      <c r="A53" s="233" t="s">
        <v>436</v>
      </c>
      <c r="H53" s="12">
        <v>5</v>
      </c>
      <c r="I53" s="12">
        <v>6</v>
      </c>
      <c r="J53" s="12">
        <v>7</v>
      </c>
      <c r="K53" s="12">
        <v>8</v>
      </c>
      <c r="L53" s="12">
        <v>9</v>
      </c>
      <c r="M53" s="12">
        <v>10</v>
      </c>
      <c r="N53" s="12">
        <v>11</v>
      </c>
      <c r="O53" s="12">
        <v>12</v>
      </c>
      <c r="P53" s="12">
        <v>13</v>
      </c>
      <c r="Q53" s="12">
        <v>14</v>
      </c>
      <c r="R53" s="12">
        <v>15</v>
      </c>
      <c r="S53" s="12">
        <v>16</v>
      </c>
      <c r="T53" s="12">
        <v>17</v>
      </c>
      <c r="U53" s="12">
        <v>18</v>
      </c>
      <c r="V53" s="12">
        <v>19</v>
      </c>
      <c r="W53" s="12">
        <v>20</v>
      </c>
      <c r="X53" s="12">
        <v>21</v>
      </c>
      <c r="Y53" s="12">
        <v>22</v>
      </c>
      <c r="Z53" s="12">
        <v>23</v>
      </c>
      <c r="AA53" s="12">
        <v>24</v>
      </c>
      <c r="AB53" s="12">
        <v>25</v>
      </c>
      <c r="AC53" s="12">
        <v>26</v>
      </c>
      <c r="AD53" s="12">
        <v>27</v>
      </c>
      <c r="AE53" s="12">
        <v>28</v>
      </c>
      <c r="AF53" s="12">
        <v>29</v>
      </c>
      <c r="AG53" s="12">
        <v>30</v>
      </c>
    </row>
    <row r="54" spans="1:34" s="1" customFormat="1" ht="13.5" x14ac:dyDescent="0.25">
      <c r="A54" s="184" t="s">
        <v>250</v>
      </c>
      <c r="B54" s="372"/>
      <c r="C54" s="488" t="s">
        <v>366</v>
      </c>
      <c r="D54" s="488">
        <v>2015</v>
      </c>
      <c r="E54" s="488">
        <v>2016</v>
      </c>
      <c r="F54" s="488">
        <v>2017</v>
      </c>
      <c r="G54" s="488">
        <v>2018</v>
      </c>
      <c r="H54" s="488">
        <v>2019</v>
      </c>
      <c r="I54" s="488">
        <v>2020</v>
      </c>
      <c r="J54" s="488">
        <v>2021</v>
      </c>
      <c r="K54" s="488">
        <v>2022</v>
      </c>
      <c r="L54" s="488">
        <v>2023</v>
      </c>
      <c r="M54" s="488">
        <v>2024</v>
      </c>
      <c r="N54" s="488">
        <v>2025</v>
      </c>
      <c r="O54" s="488">
        <v>2026</v>
      </c>
      <c r="P54" s="488">
        <v>2027</v>
      </c>
      <c r="Q54" s="488">
        <v>2028</v>
      </c>
      <c r="R54" s="488">
        <v>2029</v>
      </c>
      <c r="S54" s="488">
        <v>2030</v>
      </c>
      <c r="T54" s="488">
        <v>2031</v>
      </c>
      <c r="U54" s="488">
        <v>2032</v>
      </c>
      <c r="V54" s="488">
        <v>2033</v>
      </c>
      <c r="W54" s="488">
        <v>2034</v>
      </c>
      <c r="X54" s="488">
        <v>2035</v>
      </c>
      <c r="Y54" s="488">
        <v>2036</v>
      </c>
      <c r="Z54" s="488">
        <v>2037</v>
      </c>
      <c r="AA54" s="488">
        <v>2038</v>
      </c>
      <c r="AB54" s="488">
        <v>2039</v>
      </c>
      <c r="AC54" s="488">
        <v>2040</v>
      </c>
      <c r="AD54" s="488">
        <v>2041</v>
      </c>
      <c r="AE54" s="488">
        <v>2042</v>
      </c>
      <c r="AF54" s="488">
        <v>2043</v>
      </c>
      <c r="AG54" s="488">
        <v>2044</v>
      </c>
    </row>
    <row r="55" spans="1:34" s="1" customFormat="1" ht="15" customHeight="1" x14ac:dyDescent="0.25">
      <c r="A55" s="184" t="s">
        <v>251</v>
      </c>
      <c r="B55" s="373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</row>
    <row r="56" spans="1:34" s="1" customFormat="1" ht="13.5" x14ac:dyDescent="0.25">
      <c r="A56" s="21" t="s">
        <v>245</v>
      </c>
      <c r="B56" s="2" t="s">
        <v>252</v>
      </c>
      <c r="C56" s="218">
        <f>D56+NPV($C$13,E56:AG56)</f>
        <v>498023033.07597005</v>
      </c>
      <c r="D56" s="374">
        <f>D42</f>
        <v>16449405</v>
      </c>
      <c r="E56" s="374">
        <f t="shared" ref="E56:AG56" si="25">E42</f>
        <v>84840430</v>
      </c>
      <c r="F56" s="374">
        <f t="shared" si="25"/>
        <v>158558010</v>
      </c>
      <c r="G56" s="374">
        <f t="shared" si="25"/>
        <v>108315987.09999999</v>
      </c>
      <c r="H56" s="374">
        <f t="shared" si="25"/>
        <v>101091482.47</v>
      </c>
      <c r="I56" s="374">
        <f t="shared" si="25"/>
        <v>52449613.420000002</v>
      </c>
      <c r="J56" s="374">
        <f t="shared" si="25"/>
        <v>0</v>
      </c>
      <c r="K56" s="374">
        <f t="shared" si="25"/>
        <v>0</v>
      </c>
      <c r="L56" s="374">
        <f t="shared" si="25"/>
        <v>0</v>
      </c>
      <c r="M56" s="374">
        <f t="shared" si="25"/>
        <v>0</v>
      </c>
      <c r="N56" s="374">
        <f t="shared" si="25"/>
        <v>0</v>
      </c>
      <c r="O56" s="374">
        <f t="shared" si="25"/>
        <v>0</v>
      </c>
      <c r="P56" s="374">
        <f t="shared" si="25"/>
        <v>0</v>
      </c>
      <c r="Q56" s="374">
        <f t="shared" si="25"/>
        <v>0</v>
      </c>
      <c r="R56" s="374">
        <f t="shared" si="25"/>
        <v>0</v>
      </c>
      <c r="S56" s="374">
        <f t="shared" si="25"/>
        <v>20854470.649999999</v>
      </c>
      <c r="T56" s="374">
        <f t="shared" si="25"/>
        <v>0</v>
      </c>
      <c r="U56" s="374">
        <f t="shared" si="25"/>
        <v>0</v>
      </c>
      <c r="V56" s="374">
        <f t="shared" si="25"/>
        <v>0</v>
      </c>
      <c r="W56" s="374">
        <f t="shared" si="25"/>
        <v>0</v>
      </c>
      <c r="X56" s="374">
        <f t="shared" si="25"/>
        <v>20854470.649999999</v>
      </c>
      <c r="Y56" s="374">
        <f t="shared" si="25"/>
        <v>42000000</v>
      </c>
      <c r="Z56" s="374">
        <f t="shared" si="25"/>
        <v>0</v>
      </c>
      <c r="AA56" s="374">
        <f t="shared" si="25"/>
        <v>0</v>
      </c>
      <c r="AB56" s="374">
        <f t="shared" si="25"/>
        <v>0</v>
      </c>
      <c r="AC56" s="374">
        <f t="shared" si="25"/>
        <v>20854470.649999999</v>
      </c>
      <c r="AD56" s="374">
        <f t="shared" si="25"/>
        <v>0</v>
      </c>
      <c r="AE56" s="374">
        <f t="shared" si="25"/>
        <v>0</v>
      </c>
      <c r="AF56" s="374">
        <f t="shared" si="25"/>
        <v>0</v>
      </c>
      <c r="AG56" s="374">
        <f t="shared" si="25"/>
        <v>0</v>
      </c>
    </row>
    <row r="57" spans="1:34" s="51" customFormat="1" ht="13.5" x14ac:dyDescent="0.25">
      <c r="A57" s="59" t="s">
        <v>253</v>
      </c>
      <c r="B57" s="7" t="s">
        <v>254</v>
      </c>
      <c r="C57" s="205">
        <f>NPV($C$13,E57:AG57)+D57</f>
        <v>329262302.11770433</v>
      </c>
      <c r="D57" s="374">
        <f>D43</f>
        <v>0</v>
      </c>
      <c r="E57" s="374">
        <f t="shared" ref="E57:AG57" si="26">E43</f>
        <v>2142000</v>
      </c>
      <c r="F57" s="374">
        <f t="shared" si="26"/>
        <v>2148556</v>
      </c>
      <c r="G57" s="374">
        <f t="shared" si="26"/>
        <v>2263076</v>
      </c>
      <c r="H57" s="374">
        <f t="shared" si="26"/>
        <v>5173076</v>
      </c>
      <c r="I57" s="374">
        <f t="shared" si="26"/>
        <v>8773918</v>
      </c>
      <c r="J57" s="374">
        <f t="shared" si="26"/>
        <v>28680123.625</v>
      </c>
      <c r="K57" s="374">
        <f t="shared" si="26"/>
        <v>28680123.625</v>
      </c>
      <c r="L57" s="374">
        <f t="shared" si="26"/>
        <v>28680123.625</v>
      </c>
      <c r="M57" s="374">
        <f t="shared" si="26"/>
        <v>28680123.625</v>
      </c>
      <c r="N57" s="374">
        <f t="shared" si="26"/>
        <v>28680123.625</v>
      </c>
      <c r="O57" s="374">
        <f t="shared" si="26"/>
        <v>28680123.625</v>
      </c>
      <c r="P57" s="374">
        <f t="shared" si="26"/>
        <v>28680123.625</v>
      </c>
      <c r="Q57" s="374">
        <f t="shared" si="26"/>
        <v>28680123.625</v>
      </c>
      <c r="R57" s="374">
        <f t="shared" si="26"/>
        <v>28680123.625</v>
      </c>
      <c r="S57" s="374">
        <f t="shared" si="26"/>
        <v>28680123.625</v>
      </c>
      <c r="T57" s="374">
        <f t="shared" si="26"/>
        <v>29201485.391249999</v>
      </c>
      <c r="U57" s="374">
        <f t="shared" si="26"/>
        <v>29201485.391249999</v>
      </c>
      <c r="V57" s="374">
        <f t="shared" si="26"/>
        <v>29201485.391249999</v>
      </c>
      <c r="W57" s="374">
        <f t="shared" si="26"/>
        <v>29201485.391249999</v>
      </c>
      <c r="X57" s="374">
        <f t="shared" si="26"/>
        <v>28231485.391249999</v>
      </c>
      <c r="Y57" s="374">
        <f t="shared" si="26"/>
        <v>26812847.157499999</v>
      </c>
      <c r="Z57" s="374">
        <f t="shared" si="26"/>
        <v>29332847.157499999</v>
      </c>
      <c r="AA57" s="374">
        <f t="shared" si="26"/>
        <v>29332847.157499999</v>
      </c>
      <c r="AB57" s="374">
        <f t="shared" si="26"/>
        <v>29332847.157499999</v>
      </c>
      <c r="AC57" s="374">
        <f t="shared" si="26"/>
        <v>29332847.157499999</v>
      </c>
      <c r="AD57" s="374">
        <f t="shared" si="26"/>
        <v>29854208.923750002</v>
      </c>
      <c r="AE57" s="374">
        <f t="shared" si="26"/>
        <v>29854208.923750002</v>
      </c>
      <c r="AF57" s="374">
        <f t="shared" si="26"/>
        <v>29854208.923750002</v>
      </c>
      <c r="AG57" s="374">
        <f t="shared" si="26"/>
        <v>29854208.923750002</v>
      </c>
    </row>
    <row r="58" spans="1:34" s="51" customFormat="1" ht="15.75" x14ac:dyDescent="0.25">
      <c r="A58" s="59" t="s">
        <v>255</v>
      </c>
      <c r="B58" s="7" t="s">
        <v>371</v>
      </c>
      <c r="C58" s="205">
        <f>NPV($C$13,E58:AG58)+D58</f>
        <v>33572465.657831199</v>
      </c>
      <c r="D58" s="130">
        <f>D44</f>
        <v>0</v>
      </c>
      <c r="E58" s="130">
        <f t="shared" ref="E58:AG58" si="27">E44</f>
        <v>0</v>
      </c>
      <c r="F58" s="130">
        <f t="shared" si="27"/>
        <v>0</v>
      </c>
      <c r="G58" s="130">
        <f t="shared" si="27"/>
        <v>0</v>
      </c>
      <c r="H58" s="130">
        <f t="shared" si="27"/>
        <v>0</v>
      </c>
      <c r="I58" s="130">
        <f t="shared" si="27"/>
        <v>0</v>
      </c>
      <c r="J58" s="130">
        <f t="shared" si="27"/>
        <v>3105227.28</v>
      </c>
      <c r="K58" s="130">
        <f t="shared" si="27"/>
        <v>3105227.28</v>
      </c>
      <c r="L58" s="130">
        <f t="shared" si="27"/>
        <v>3105227.28</v>
      </c>
      <c r="M58" s="130">
        <f t="shared" si="27"/>
        <v>3105227.28</v>
      </c>
      <c r="N58" s="130">
        <f t="shared" si="27"/>
        <v>3105227.28</v>
      </c>
      <c r="O58" s="130">
        <f t="shared" si="27"/>
        <v>3105227.28</v>
      </c>
      <c r="P58" s="130">
        <f t="shared" si="27"/>
        <v>3105227.28</v>
      </c>
      <c r="Q58" s="130">
        <f t="shared" si="27"/>
        <v>3105227.28</v>
      </c>
      <c r="R58" s="130">
        <f t="shared" si="27"/>
        <v>3105227.28</v>
      </c>
      <c r="S58" s="130">
        <f t="shared" si="27"/>
        <v>3105227.28</v>
      </c>
      <c r="T58" s="130">
        <f t="shared" si="27"/>
        <v>3105227.28</v>
      </c>
      <c r="U58" s="130">
        <f t="shared" si="27"/>
        <v>3105227.28</v>
      </c>
      <c r="V58" s="130">
        <f t="shared" si="27"/>
        <v>3105227.28</v>
      </c>
      <c r="W58" s="130">
        <f t="shared" si="27"/>
        <v>3105227.28</v>
      </c>
      <c r="X58" s="130">
        <f t="shared" si="27"/>
        <v>3105227.28</v>
      </c>
      <c r="Y58" s="130">
        <f t="shared" si="27"/>
        <v>3105227.28</v>
      </c>
      <c r="Z58" s="130">
        <f t="shared" si="27"/>
        <v>3105227.28</v>
      </c>
      <c r="AA58" s="130">
        <f t="shared" si="27"/>
        <v>3105227.28</v>
      </c>
      <c r="AB58" s="130">
        <f t="shared" si="27"/>
        <v>3105227.28</v>
      </c>
      <c r="AC58" s="130">
        <f t="shared" si="27"/>
        <v>3105227.28</v>
      </c>
      <c r="AD58" s="130">
        <f t="shared" si="27"/>
        <v>3105227.28</v>
      </c>
      <c r="AE58" s="130">
        <f t="shared" si="27"/>
        <v>3105227.28</v>
      </c>
      <c r="AF58" s="130">
        <f t="shared" si="27"/>
        <v>3105227.28</v>
      </c>
      <c r="AG58" s="130">
        <f t="shared" si="27"/>
        <v>3105227.28</v>
      </c>
    </row>
    <row r="59" spans="1:34" s="1" customFormat="1" ht="15.75" x14ac:dyDescent="0.25">
      <c r="A59" s="125" t="s">
        <v>256</v>
      </c>
      <c r="B59" s="317" t="s">
        <v>372</v>
      </c>
      <c r="C59" s="375">
        <f>(C57+C56)/C58</f>
        <v>24.641780667089598</v>
      </c>
      <c r="D59" s="22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4" s="1" customFormat="1" ht="13.5" x14ac:dyDescent="0.25">
      <c r="A60" s="376" t="s">
        <v>257</v>
      </c>
      <c r="B60" s="373"/>
      <c r="C60" s="219"/>
      <c r="D60" s="219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4" s="1" customFormat="1" ht="13.5" x14ac:dyDescent="0.25">
      <c r="A61" s="21" t="s">
        <v>245</v>
      </c>
      <c r="B61" s="2" t="s">
        <v>252</v>
      </c>
      <c r="C61" s="218">
        <f>D61+NPV($C$13,E61:AG61)</f>
        <v>509734511.31806052</v>
      </c>
      <c r="D61" s="22">
        <f>D56+0</f>
        <v>16449405</v>
      </c>
      <c r="E61" s="22">
        <f>E56+3000000</f>
        <v>87840430</v>
      </c>
      <c r="F61" s="22">
        <f>F56+5000000</f>
        <v>163558010</v>
      </c>
      <c r="G61" s="22">
        <f>G56+5000000</f>
        <v>113315987.09999999</v>
      </c>
      <c r="H61" s="22">
        <f>H56</f>
        <v>101091482.47</v>
      </c>
      <c r="I61" s="22">
        <f t="shared" ref="I61:AG61" si="28">I56</f>
        <v>52449613.420000002</v>
      </c>
      <c r="J61" s="22">
        <f t="shared" si="28"/>
        <v>0</v>
      </c>
      <c r="K61" s="22">
        <f t="shared" si="28"/>
        <v>0</v>
      </c>
      <c r="L61" s="22">
        <f t="shared" si="28"/>
        <v>0</v>
      </c>
      <c r="M61" s="22">
        <f t="shared" si="28"/>
        <v>0</v>
      </c>
      <c r="N61" s="22">
        <f t="shared" si="28"/>
        <v>0</v>
      </c>
      <c r="O61" s="22">
        <f t="shared" si="28"/>
        <v>0</v>
      </c>
      <c r="P61" s="22">
        <f t="shared" si="28"/>
        <v>0</v>
      </c>
      <c r="Q61" s="22">
        <f t="shared" si="28"/>
        <v>0</v>
      </c>
      <c r="R61" s="22">
        <f t="shared" si="28"/>
        <v>0</v>
      </c>
      <c r="S61" s="22">
        <f t="shared" si="28"/>
        <v>20854470.649999999</v>
      </c>
      <c r="T61" s="22">
        <f t="shared" si="28"/>
        <v>0</v>
      </c>
      <c r="U61" s="22">
        <f t="shared" si="28"/>
        <v>0</v>
      </c>
      <c r="V61" s="22">
        <f t="shared" si="28"/>
        <v>0</v>
      </c>
      <c r="W61" s="22">
        <f t="shared" si="28"/>
        <v>0</v>
      </c>
      <c r="X61" s="22">
        <f t="shared" si="28"/>
        <v>20854470.649999999</v>
      </c>
      <c r="Y61" s="22">
        <f t="shared" si="28"/>
        <v>42000000</v>
      </c>
      <c r="Z61" s="22">
        <f t="shared" si="28"/>
        <v>0</v>
      </c>
      <c r="AA61" s="22">
        <f t="shared" si="28"/>
        <v>0</v>
      </c>
      <c r="AB61" s="22">
        <f t="shared" si="28"/>
        <v>0</v>
      </c>
      <c r="AC61" s="22">
        <f t="shared" si="28"/>
        <v>20854470.649999999</v>
      </c>
      <c r="AD61" s="22">
        <f t="shared" si="28"/>
        <v>0</v>
      </c>
      <c r="AE61" s="22">
        <f t="shared" si="28"/>
        <v>0</v>
      </c>
      <c r="AF61" s="22">
        <f t="shared" si="28"/>
        <v>0</v>
      </c>
      <c r="AG61" s="22">
        <f t="shared" si="28"/>
        <v>0</v>
      </c>
    </row>
    <row r="62" spans="1:34" s="51" customFormat="1" ht="13.5" x14ac:dyDescent="0.25">
      <c r="A62" s="59" t="s">
        <v>253</v>
      </c>
      <c r="B62" s="7" t="s">
        <v>254</v>
      </c>
      <c r="C62" s="205">
        <f>NPV($C$13,E62:AG62)+D62</f>
        <v>362487706.61249149</v>
      </c>
      <c r="D62" s="130">
        <f>D57</f>
        <v>0</v>
      </c>
      <c r="E62" s="130">
        <f t="shared" ref="E62:G62" si="29">E57</f>
        <v>2142000</v>
      </c>
      <c r="F62" s="130">
        <f t="shared" si="29"/>
        <v>2148556</v>
      </c>
      <c r="G62" s="130">
        <f t="shared" si="29"/>
        <v>2263076</v>
      </c>
      <c r="H62" s="130">
        <f>H57-1700000+2%*13000000+6%*13000000+10*3274.15*1.2018*12+0.2*(13000000+6.5%*13000000+10*3274.15*1.2018*12)</f>
        <v>7848697.7796800006</v>
      </c>
      <c r="I62" s="130">
        <f>I57-1700000+2%*13000000+6%*13000000+10*3274.15*1.2018*12+0.2*(13000000+6.5%*13000000+10*3274.15*1.2018*12)</f>
        <v>11449539.779680001</v>
      </c>
      <c r="J62" s="130">
        <f>J57-1700000+2%*13000000+6%*13000000+10*3274.15*1.2018*12+0.2*(13000000+6.5%*13000000+10*3274.15*1.2018*12)</f>
        <v>31355745.404679999</v>
      </c>
      <c r="K62" s="130">
        <f>K57-1700000+2%*13000000+6%*13000000+10*3274.15*1.2018*12+0.2*(13000000+6.5%*13000000+10*3274.15*1.2018*12)</f>
        <v>31355745.404679999</v>
      </c>
      <c r="L62" s="130">
        <f t="shared" ref="L62:AG62" si="30">L57-1700000+2%*13000000+6%*13000000+10*3274.15*1.2018*12+0.2*(13000000+6.5%*13000000+10*3274.15*1.2018*12)</f>
        <v>31355745.404679999</v>
      </c>
      <c r="M62" s="130">
        <f t="shared" si="30"/>
        <v>31355745.404679999</v>
      </c>
      <c r="N62" s="130">
        <f t="shared" si="30"/>
        <v>31355745.404679999</v>
      </c>
      <c r="O62" s="130">
        <f t="shared" si="30"/>
        <v>31355745.404679999</v>
      </c>
      <c r="P62" s="130">
        <f t="shared" si="30"/>
        <v>31355745.404679999</v>
      </c>
      <c r="Q62" s="130">
        <f t="shared" si="30"/>
        <v>31355745.404679999</v>
      </c>
      <c r="R62" s="130">
        <f t="shared" si="30"/>
        <v>31355745.404679999</v>
      </c>
      <c r="S62" s="130">
        <f t="shared" si="30"/>
        <v>31355745.404679999</v>
      </c>
      <c r="T62" s="130">
        <f t="shared" si="30"/>
        <v>31877107.170929998</v>
      </c>
      <c r="U62" s="130">
        <f t="shared" si="30"/>
        <v>31877107.170929998</v>
      </c>
      <c r="V62" s="130">
        <f t="shared" si="30"/>
        <v>31877107.170929998</v>
      </c>
      <c r="W62" s="130">
        <f t="shared" si="30"/>
        <v>31877107.170929998</v>
      </c>
      <c r="X62" s="130">
        <f t="shared" si="30"/>
        <v>30907107.170929998</v>
      </c>
      <c r="Y62" s="130">
        <f t="shared" si="30"/>
        <v>29488468.937179998</v>
      </c>
      <c r="Z62" s="130">
        <f t="shared" si="30"/>
        <v>32008468.937179998</v>
      </c>
      <c r="AA62" s="130">
        <f t="shared" si="30"/>
        <v>32008468.937179998</v>
      </c>
      <c r="AB62" s="130">
        <f t="shared" si="30"/>
        <v>32008468.937179998</v>
      </c>
      <c r="AC62" s="130">
        <f t="shared" si="30"/>
        <v>32008468.937179998</v>
      </c>
      <c r="AD62" s="130">
        <f t="shared" si="30"/>
        <v>32529830.703430001</v>
      </c>
      <c r="AE62" s="130">
        <f t="shared" si="30"/>
        <v>32529830.703430001</v>
      </c>
      <c r="AF62" s="130">
        <f t="shared" si="30"/>
        <v>32529830.703430001</v>
      </c>
      <c r="AG62" s="130">
        <f t="shared" si="30"/>
        <v>32529830.703430001</v>
      </c>
    </row>
    <row r="63" spans="1:34" s="51" customFormat="1" ht="15.75" x14ac:dyDescent="0.25">
      <c r="A63" s="59" t="s">
        <v>255</v>
      </c>
      <c r="B63" s="7" t="s">
        <v>371</v>
      </c>
      <c r="C63" s="205">
        <f>NPV($C$13,E63:AG63)+D63</f>
        <v>33572465.657831199</v>
      </c>
      <c r="D63" s="130">
        <f>D58</f>
        <v>0</v>
      </c>
      <c r="E63" s="130">
        <f t="shared" ref="E63:AG63" si="31">E58</f>
        <v>0</v>
      </c>
      <c r="F63" s="130">
        <f t="shared" si="31"/>
        <v>0</v>
      </c>
      <c r="G63" s="130">
        <f t="shared" si="31"/>
        <v>0</v>
      </c>
      <c r="H63" s="130">
        <f t="shared" si="31"/>
        <v>0</v>
      </c>
      <c r="I63" s="130">
        <f t="shared" si="31"/>
        <v>0</v>
      </c>
      <c r="J63" s="130">
        <f t="shared" si="31"/>
        <v>3105227.28</v>
      </c>
      <c r="K63" s="130">
        <f t="shared" si="31"/>
        <v>3105227.28</v>
      </c>
      <c r="L63" s="130">
        <f t="shared" si="31"/>
        <v>3105227.28</v>
      </c>
      <c r="M63" s="130">
        <f t="shared" si="31"/>
        <v>3105227.28</v>
      </c>
      <c r="N63" s="130">
        <f t="shared" si="31"/>
        <v>3105227.28</v>
      </c>
      <c r="O63" s="130">
        <f t="shared" si="31"/>
        <v>3105227.28</v>
      </c>
      <c r="P63" s="130">
        <f t="shared" si="31"/>
        <v>3105227.28</v>
      </c>
      <c r="Q63" s="130">
        <f t="shared" si="31"/>
        <v>3105227.28</v>
      </c>
      <c r="R63" s="130">
        <f t="shared" si="31"/>
        <v>3105227.28</v>
      </c>
      <c r="S63" s="130">
        <f t="shared" si="31"/>
        <v>3105227.28</v>
      </c>
      <c r="T63" s="130">
        <f t="shared" si="31"/>
        <v>3105227.28</v>
      </c>
      <c r="U63" s="130">
        <f t="shared" si="31"/>
        <v>3105227.28</v>
      </c>
      <c r="V63" s="130">
        <f t="shared" si="31"/>
        <v>3105227.28</v>
      </c>
      <c r="W63" s="130">
        <f t="shared" si="31"/>
        <v>3105227.28</v>
      </c>
      <c r="X63" s="130">
        <f t="shared" si="31"/>
        <v>3105227.28</v>
      </c>
      <c r="Y63" s="130">
        <f t="shared" si="31"/>
        <v>3105227.28</v>
      </c>
      <c r="Z63" s="130">
        <f t="shared" si="31"/>
        <v>3105227.28</v>
      </c>
      <c r="AA63" s="130">
        <f t="shared" si="31"/>
        <v>3105227.28</v>
      </c>
      <c r="AB63" s="130">
        <f t="shared" si="31"/>
        <v>3105227.28</v>
      </c>
      <c r="AC63" s="130">
        <f t="shared" si="31"/>
        <v>3105227.28</v>
      </c>
      <c r="AD63" s="130">
        <f t="shared" si="31"/>
        <v>3105227.28</v>
      </c>
      <c r="AE63" s="130">
        <f t="shared" si="31"/>
        <v>3105227.28</v>
      </c>
      <c r="AF63" s="130">
        <f t="shared" si="31"/>
        <v>3105227.28</v>
      </c>
      <c r="AG63" s="130">
        <f t="shared" si="31"/>
        <v>3105227.28</v>
      </c>
    </row>
    <row r="64" spans="1:34" s="1" customFormat="1" ht="15.75" x14ac:dyDescent="0.25">
      <c r="A64" s="125" t="s">
        <v>256</v>
      </c>
      <c r="B64" s="317" t="s">
        <v>372</v>
      </c>
      <c r="C64" s="23">
        <f>(C62+C61)/C63</f>
        <v>25.980284761333735</v>
      </c>
      <c r="D64" s="377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</row>
    <row r="65" spans="1:34" s="1" customFormat="1" ht="13.5" x14ac:dyDescent="0.25">
      <c r="A65" s="21" t="s">
        <v>258</v>
      </c>
      <c r="B65" s="21"/>
      <c r="C65" s="4">
        <v>0.05</v>
      </c>
      <c r="D65" s="378"/>
    </row>
    <row r="67" spans="1:34" ht="15.75" hidden="1" x14ac:dyDescent="0.2">
      <c r="A67" s="233" t="s">
        <v>443</v>
      </c>
      <c r="H67" s="12">
        <v>5</v>
      </c>
      <c r="I67" s="12">
        <v>6</v>
      </c>
      <c r="J67" s="12">
        <v>7</v>
      </c>
      <c r="K67" s="12">
        <v>8</v>
      </c>
      <c r="L67" s="12">
        <v>9</v>
      </c>
      <c r="M67" s="12">
        <v>10</v>
      </c>
      <c r="N67" s="12">
        <v>11</v>
      </c>
      <c r="O67" s="12">
        <v>12</v>
      </c>
      <c r="P67" s="12">
        <v>13</v>
      </c>
      <c r="Q67" s="12">
        <v>14</v>
      </c>
      <c r="R67" s="12">
        <v>15</v>
      </c>
      <c r="S67" s="12">
        <v>16</v>
      </c>
      <c r="T67" s="12">
        <v>17</v>
      </c>
      <c r="U67" s="12">
        <v>18</v>
      </c>
      <c r="V67" s="12">
        <v>19</v>
      </c>
      <c r="W67" s="12">
        <v>20</v>
      </c>
      <c r="X67" s="12">
        <v>21</v>
      </c>
      <c r="Y67" s="12">
        <v>22</v>
      </c>
      <c r="Z67" s="12">
        <v>23</v>
      </c>
      <c r="AA67" s="12">
        <v>24</v>
      </c>
      <c r="AB67" s="12">
        <v>25</v>
      </c>
      <c r="AC67" s="12">
        <v>26</v>
      </c>
      <c r="AD67" s="12">
        <v>27</v>
      </c>
      <c r="AE67" s="12">
        <v>28</v>
      </c>
      <c r="AF67" s="12">
        <v>29</v>
      </c>
      <c r="AG67" s="12">
        <v>30</v>
      </c>
    </row>
    <row r="68" spans="1:34" s="1" customFormat="1" ht="13.5" hidden="1" x14ac:dyDescent="0.25">
      <c r="A68" s="184" t="s">
        <v>250</v>
      </c>
      <c r="B68" s="372"/>
      <c r="C68" s="488" t="s">
        <v>366</v>
      </c>
      <c r="D68" s="488">
        <v>2015</v>
      </c>
      <c r="E68" s="488">
        <v>2016</v>
      </c>
      <c r="F68" s="488">
        <v>2017</v>
      </c>
      <c r="G68" s="488">
        <v>2018</v>
      </c>
      <c r="H68" s="488">
        <v>2019</v>
      </c>
      <c r="I68" s="488">
        <v>2020</v>
      </c>
      <c r="J68" s="488">
        <v>2021</v>
      </c>
      <c r="K68" s="488">
        <v>2022</v>
      </c>
      <c r="L68" s="488">
        <v>2023</v>
      </c>
      <c r="M68" s="488">
        <v>2024</v>
      </c>
      <c r="N68" s="488">
        <v>2025</v>
      </c>
      <c r="O68" s="488">
        <v>2026</v>
      </c>
      <c r="P68" s="488">
        <v>2027</v>
      </c>
      <c r="Q68" s="488">
        <v>2028</v>
      </c>
      <c r="R68" s="488">
        <v>2029</v>
      </c>
      <c r="S68" s="488">
        <v>2030</v>
      </c>
      <c r="T68" s="488">
        <v>2031</v>
      </c>
      <c r="U68" s="488">
        <v>2032</v>
      </c>
      <c r="V68" s="488">
        <v>2033</v>
      </c>
      <c r="W68" s="488">
        <v>2034</v>
      </c>
      <c r="X68" s="488">
        <v>2035</v>
      </c>
      <c r="Y68" s="488">
        <v>2036</v>
      </c>
      <c r="Z68" s="488">
        <v>2037</v>
      </c>
      <c r="AA68" s="488">
        <v>2038</v>
      </c>
      <c r="AB68" s="488">
        <v>2039</v>
      </c>
      <c r="AC68" s="488">
        <v>2040</v>
      </c>
      <c r="AD68" s="488">
        <v>2041</v>
      </c>
      <c r="AE68" s="488">
        <v>2042</v>
      </c>
      <c r="AF68" s="488">
        <v>2043</v>
      </c>
      <c r="AG68" s="488">
        <v>2044</v>
      </c>
    </row>
    <row r="69" spans="1:34" s="1" customFormat="1" ht="15" hidden="1" customHeight="1" x14ac:dyDescent="0.25">
      <c r="A69" s="184" t="s">
        <v>251</v>
      </c>
      <c r="B69" s="373"/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489"/>
      <c r="AG69" s="489"/>
    </row>
    <row r="70" spans="1:34" s="1" customFormat="1" ht="13.5" hidden="1" x14ac:dyDescent="0.25">
      <c r="A70" s="21" t="s">
        <v>245</v>
      </c>
      <c r="B70" s="2" t="s">
        <v>252</v>
      </c>
      <c r="C70" s="218">
        <f>D70+NPV($C$13,E70:AG70)</f>
        <v>498023033.07597005</v>
      </c>
      <c r="D70" s="374">
        <f>D4</f>
        <v>16449405</v>
      </c>
      <c r="E70" s="374">
        <f t="shared" ref="E70:AG72" si="32">E4</f>
        <v>84840430</v>
      </c>
      <c r="F70" s="374">
        <f t="shared" si="32"/>
        <v>158558010</v>
      </c>
      <c r="G70" s="374">
        <f t="shared" si="32"/>
        <v>108315987.09999999</v>
      </c>
      <c r="H70" s="374">
        <f t="shared" si="32"/>
        <v>101091482.47</v>
      </c>
      <c r="I70" s="374">
        <f t="shared" si="32"/>
        <v>52449613.420000002</v>
      </c>
      <c r="J70" s="374">
        <f t="shared" si="32"/>
        <v>0</v>
      </c>
      <c r="K70" s="374">
        <f t="shared" si="32"/>
        <v>0</v>
      </c>
      <c r="L70" s="374">
        <f t="shared" si="32"/>
        <v>0</v>
      </c>
      <c r="M70" s="374">
        <f t="shared" si="32"/>
        <v>0</v>
      </c>
      <c r="N70" s="374">
        <f t="shared" si="32"/>
        <v>0</v>
      </c>
      <c r="O70" s="374">
        <f t="shared" si="32"/>
        <v>0</v>
      </c>
      <c r="P70" s="374">
        <f t="shared" si="32"/>
        <v>0</v>
      </c>
      <c r="Q70" s="374">
        <f t="shared" si="32"/>
        <v>0</v>
      </c>
      <c r="R70" s="374">
        <f t="shared" si="32"/>
        <v>0</v>
      </c>
      <c r="S70" s="374">
        <f t="shared" si="32"/>
        <v>20854470.649999999</v>
      </c>
      <c r="T70" s="374">
        <f t="shared" si="32"/>
        <v>0</v>
      </c>
      <c r="U70" s="374">
        <f t="shared" si="32"/>
        <v>0</v>
      </c>
      <c r="V70" s="374">
        <f t="shared" si="32"/>
        <v>0</v>
      </c>
      <c r="W70" s="374">
        <f t="shared" si="32"/>
        <v>0</v>
      </c>
      <c r="X70" s="374">
        <f t="shared" si="32"/>
        <v>20854470.649999999</v>
      </c>
      <c r="Y70" s="374">
        <f t="shared" si="32"/>
        <v>42000000</v>
      </c>
      <c r="Z70" s="374">
        <f t="shared" si="32"/>
        <v>0</v>
      </c>
      <c r="AA70" s="374">
        <f t="shared" si="32"/>
        <v>0</v>
      </c>
      <c r="AB70" s="374">
        <f t="shared" si="32"/>
        <v>0</v>
      </c>
      <c r="AC70" s="374">
        <f t="shared" si="32"/>
        <v>20854470.649999999</v>
      </c>
      <c r="AD70" s="374">
        <f t="shared" si="32"/>
        <v>0</v>
      </c>
      <c r="AE70" s="374">
        <f t="shared" si="32"/>
        <v>0</v>
      </c>
      <c r="AF70" s="374">
        <f t="shared" si="32"/>
        <v>0</v>
      </c>
      <c r="AG70" s="374">
        <f t="shared" si="32"/>
        <v>0</v>
      </c>
    </row>
    <row r="71" spans="1:34" s="51" customFormat="1" ht="13.5" hidden="1" x14ac:dyDescent="0.25">
      <c r="A71" s="59" t="s">
        <v>253</v>
      </c>
      <c r="B71" s="7" t="s">
        <v>254</v>
      </c>
      <c r="C71" s="205">
        <f>NPV($C$13,E71:AG71)+D71</f>
        <v>329262302.11770433</v>
      </c>
      <c r="D71" s="374">
        <f t="shared" ref="D71:S72" si="33">D5</f>
        <v>0</v>
      </c>
      <c r="E71" s="374">
        <f t="shared" si="33"/>
        <v>2142000</v>
      </c>
      <c r="F71" s="374">
        <f t="shared" si="33"/>
        <v>2148556</v>
      </c>
      <c r="G71" s="374">
        <f t="shared" si="33"/>
        <v>2263076</v>
      </c>
      <c r="H71" s="374">
        <f t="shared" si="33"/>
        <v>5173076</v>
      </c>
      <c r="I71" s="374">
        <f t="shared" si="33"/>
        <v>8773918</v>
      </c>
      <c r="J71" s="374">
        <f t="shared" si="33"/>
        <v>28680123.625</v>
      </c>
      <c r="K71" s="374">
        <f t="shared" si="33"/>
        <v>28680123.625</v>
      </c>
      <c r="L71" s="374">
        <f t="shared" si="33"/>
        <v>28680123.625</v>
      </c>
      <c r="M71" s="374">
        <f t="shared" si="33"/>
        <v>28680123.625</v>
      </c>
      <c r="N71" s="374">
        <f t="shared" si="33"/>
        <v>28680123.625</v>
      </c>
      <c r="O71" s="374">
        <f t="shared" si="33"/>
        <v>28680123.625</v>
      </c>
      <c r="P71" s="374">
        <f t="shared" si="33"/>
        <v>28680123.625</v>
      </c>
      <c r="Q71" s="374">
        <f t="shared" si="33"/>
        <v>28680123.625</v>
      </c>
      <c r="R71" s="374">
        <f t="shared" si="33"/>
        <v>28680123.625</v>
      </c>
      <c r="S71" s="374">
        <f t="shared" si="33"/>
        <v>28680123.625</v>
      </c>
      <c r="T71" s="374">
        <f t="shared" si="32"/>
        <v>29201485.391249999</v>
      </c>
      <c r="U71" s="374">
        <f t="shared" si="32"/>
        <v>29201485.391249999</v>
      </c>
      <c r="V71" s="374">
        <f t="shared" si="32"/>
        <v>29201485.391249999</v>
      </c>
      <c r="W71" s="374">
        <f t="shared" si="32"/>
        <v>29201485.391249999</v>
      </c>
      <c r="X71" s="374">
        <f t="shared" si="32"/>
        <v>28231485.391249999</v>
      </c>
      <c r="Y71" s="374">
        <f t="shared" si="32"/>
        <v>26812847.157499999</v>
      </c>
      <c r="Z71" s="374">
        <f t="shared" si="32"/>
        <v>29332847.157499999</v>
      </c>
      <c r="AA71" s="374">
        <f t="shared" si="32"/>
        <v>29332847.157499999</v>
      </c>
      <c r="AB71" s="374">
        <f t="shared" si="32"/>
        <v>29332847.157499999</v>
      </c>
      <c r="AC71" s="374">
        <f t="shared" si="32"/>
        <v>29332847.157499999</v>
      </c>
      <c r="AD71" s="374">
        <f t="shared" si="32"/>
        <v>29854208.923750002</v>
      </c>
      <c r="AE71" s="374">
        <f t="shared" si="32"/>
        <v>29854208.923750002</v>
      </c>
      <c r="AF71" s="374">
        <f t="shared" si="32"/>
        <v>29854208.923750002</v>
      </c>
      <c r="AG71" s="374">
        <f t="shared" si="32"/>
        <v>29854208.923750002</v>
      </c>
    </row>
    <row r="72" spans="1:34" s="51" customFormat="1" ht="15.75" hidden="1" x14ac:dyDescent="0.25">
      <c r="A72" s="59" t="s">
        <v>255</v>
      </c>
      <c r="B72" s="7" t="s">
        <v>371</v>
      </c>
      <c r="C72" s="205">
        <f>NPV($C$13,E72:AG72)+D72</f>
        <v>33572465.657831199</v>
      </c>
      <c r="D72" s="374">
        <f t="shared" si="33"/>
        <v>0</v>
      </c>
      <c r="E72" s="374">
        <f t="shared" si="32"/>
        <v>0</v>
      </c>
      <c r="F72" s="374">
        <f t="shared" si="32"/>
        <v>0</v>
      </c>
      <c r="G72" s="374">
        <f t="shared" si="32"/>
        <v>0</v>
      </c>
      <c r="H72" s="374">
        <f t="shared" si="32"/>
        <v>0</v>
      </c>
      <c r="I72" s="374">
        <f t="shared" si="32"/>
        <v>0</v>
      </c>
      <c r="J72" s="374">
        <f t="shared" si="32"/>
        <v>3105227.28</v>
      </c>
      <c r="K72" s="374">
        <f t="shared" si="32"/>
        <v>3105227.28</v>
      </c>
      <c r="L72" s="374">
        <f t="shared" si="32"/>
        <v>3105227.28</v>
      </c>
      <c r="M72" s="374">
        <f t="shared" si="32"/>
        <v>3105227.28</v>
      </c>
      <c r="N72" s="374">
        <f t="shared" si="32"/>
        <v>3105227.28</v>
      </c>
      <c r="O72" s="374">
        <f t="shared" si="32"/>
        <v>3105227.28</v>
      </c>
      <c r="P72" s="374">
        <f t="shared" si="32"/>
        <v>3105227.28</v>
      </c>
      <c r="Q72" s="374">
        <f t="shared" si="32"/>
        <v>3105227.28</v>
      </c>
      <c r="R72" s="374">
        <f t="shared" si="32"/>
        <v>3105227.28</v>
      </c>
      <c r="S72" s="374">
        <f t="shared" si="32"/>
        <v>3105227.28</v>
      </c>
      <c r="T72" s="374">
        <f t="shared" si="32"/>
        <v>3105227.28</v>
      </c>
      <c r="U72" s="374">
        <f t="shared" si="32"/>
        <v>3105227.28</v>
      </c>
      <c r="V72" s="374">
        <f t="shared" si="32"/>
        <v>3105227.28</v>
      </c>
      <c r="W72" s="374">
        <f t="shared" si="32"/>
        <v>3105227.28</v>
      </c>
      <c r="X72" s="374">
        <f t="shared" si="32"/>
        <v>3105227.28</v>
      </c>
      <c r="Y72" s="374">
        <f t="shared" si="32"/>
        <v>3105227.28</v>
      </c>
      <c r="Z72" s="374">
        <f t="shared" si="32"/>
        <v>3105227.28</v>
      </c>
      <c r="AA72" s="374">
        <f t="shared" si="32"/>
        <v>3105227.28</v>
      </c>
      <c r="AB72" s="374">
        <f t="shared" si="32"/>
        <v>3105227.28</v>
      </c>
      <c r="AC72" s="374">
        <f t="shared" si="32"/>
        <v>3105227.28</v>
      </c>
      <c r="AD72" s="374">
        <f t="shared" si="32"/>
        <v>3105227.28</v>
      </c>
      <c r="AE72" s="374">
        <f t="shared" si="32"/>
        <v>3105227.28</v>
      </c>
      <c r="AF72" s="374">
        <f t="shared" si="32"/>
        <v>3105227.28</v>
      </c>
      <c r="AG72" s="374">
        <f t="shared" si="32"/>
        <v>3105227.28</v>
      </c>
    </row>
    <row r="73" spans="1:34" s="1" customFormat="1" ht="15.75" hidden="1" x14ac:dyDescent="0.25">
      <c r="A73" s="125" t="s">
        <v>256</v>
      </c>
      <c r="B73" s="317" t="s">
        <v>372</v>
      </c>
      <c r="C73" s="375">
        <f>(C71+C70)/C72</f>
        <v>24.641780667089598</v>
      </c>
      <c r="D73" s="22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4" s="1" customFormat="1" ht="13.5" hidden="1" x14ac:dyDescent="0.25">
      <c r="A74" s="376" t="s">
        <v>257</v>
      </c>
      <c r="B74" s="373"/>
      <c r="C74" s="219"/>
      <c r="D74" s="219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4" s="1" customFormat="1" ht="13.5" hidden="1" x14ac:dyDescent="0.25">
      <c r="A75" s="21" t="s">
        <v>245</v>
      </c>
      <c r="B75" s="2" t="s">
        <v>252</v>
      </c>
      <c r="C75" s="218">
        <f>D75+NPV($C$13,E75:AG75)</f>
        <v>487058190.77697545</v>
      </c>
      <c r="D75" s="22">
        <f>D70</f>
        <v>16449405</v>
      </c>
      <c r="E75" s="22">
        <f>E70-12500000+8000000</f>
        <v>80340430</v>
      </c>
      <c r="F75" s="22">
        <f>F70-12500000+8500000</f>
        <v>154558010</v>
      </c>
      <c r="G75" s="22">
        <f t="shared" ref="E75:AG77" si="34">G70</f>
        <v>108315987.09999999</v>
      </c>
      <c r="H75" s="22">
        <f t="shared" si="34"/>
        <v>101091482.47</v>
      </c>
      <c r="I75" s="22">
        <f t="shared" si="34"/>
        <v>52449613.420000002</v>
      </c>
      <c r="J75" s="22">
        <f t="shared" si="34"/>
        <v>0</v>
      </c>
      <c r="K75" s="22">
        <f t="shared" si="34"/>
        <v>0</v>
      </c>
      <c r="L75" s="22">
        <f t="shared" si="34"/>
        <v>0</v>
      </c>
      <c r="M75" s="22">
        <f t="shared" si="34"/>
        <v>0</v>
      </c>
      <c r="N75" s="22">
        <f t="shared" si="34"/>
        <v>0</v>
      </c>
      <c r="O75" s="22">
        <f t="shared" si="34"/>
        <v>0</v>
      </c>
      <c r="P75" s="22">
        <f t="shared" si="34"/>
        <v>0</v>
      </c>
      <c r="Q75" s="22">
        <f t="shared" si="34"/>
        <v>0</v>
      </c>
      <c r="R75" s="22">
        <f t="shared" si="34"/>
        <v>0</v>
      </c>
      <c r="S75" s="22">
        <f t="shared" si="34"/>
        <v>20854470.649999999</v>
      </c>
      <c r="T75" s="22">
        <f t="shared" si="34"/>
        <v>0</v>
      </c>
      <c r="U75" s="22">
        <f t="shared" si="34"/>
        <v>0</v>
      </c>
      <c r="V75" s="22">
        <f t="shared" si="34"/>
        <v>0</v>
      </c>
      <c r="W75" s="22">
        <f t="shared" si="34"/>
        <v>0</v>
      </c>
      <c r="X75" s="22">
        <f t="shared" si="34"/>
        <v>20854470.649999999</v>
      </c>
      <c r="Y75" s="22">
        <f>Y70-25000000+16500000</f>
        <v>33500000</v>
      </c>
      <c r="Z75" s="22">
        <f t="shared" si="34"/>
        <v>0</v>
      </c>
      <c r="AA75" s="22">
        <f t="shared" si="34"/>
        <v>0</v>
      </c>
      <c r="AB75" s="22">
        <f t="shared" si="34"/>
        <v>0</v>
      </c>
      <c r="AC75" s="22">
        <f t="shared" si="34"/>
        <v>20854470.649999999</v>
      </c>
      <c r="AD75" s="22">
        <f t="shared" si="34"/>
        <v>0</v>
      </c>
      <c r="AE75" s="22">
        <f t="shared" si="34"/>
        <v>0</v>
      </c>
      <c r="AF75" s="22">
        <f t="shared" si="34"/>
        <v>0</v>
      </c>
      <c r="AG75" s="22">
        <f t="shared" si="34"/>
        <v>0</v>
      </c>
    </row>
    <row r="76" spans="1:34" s="51" customFormat="1" ht="13.5" hidden="1" x14ac:dyDescent="0.25">
      <c r="A76" s="59" t="s">
        <v>253</v>
      </c>
      <c r="B76" s="7" t="s">
        <v>254</v>
      </c>
      <c r="C76" s="205">
        <f>NPV($C$13,E76:AG76)+D76</f>
        <v>334125202.46616393</v>
      </c>
      <c r="D76" s="22">
        <f t="shared" ref="D76:G77" si="35">D71</f>
        <v>0</v>
      </c>
      <c r="E76" s="22">
        <f t="shared" si="35"/>
        <v>2142000</v>
      </c>
      <c r="F76" s="22">
        <f t="shared" si="35"/>
        <v>2148556</v>
      </c>
      <c r="G76" s="22">
        <f t="shared" si="35"/>
        <v>2263076</v>
      </c>
      <c r="H76" s="22">
        <f>H71-'Obliczenia-AF'!H26+33500000*6.5%+45000*2*1.61+70000*1.61+80000*1.61+50000*1.61</f>
        <v>4907476</v>
      </c>
      <c r="I76" s="22">
        <f>I71-'Obliczenia-AF'!I26+33500000*6.5%+45000*2*1.61+70000*1.61+80000*1.61+50000*1.61</f>
        <v>8508318</v>
      </c>
      <c r="J76" s="22">
        <f>J71-'Obliczenia-AF'!J26+33500000*6.5%+45000*2*1.61+70000*1.61+80000*1.61+50000*1.61</f>
        <v>28414523.625</v>
      </c>
      <c r="K76" s="22">
        <f>K71-'Obliczenia-AF'!K26+33500000*6.5%+45000*2*1.61+70000*1.61+80000*1.61+50000*1.61</f>
        <v>28414523.625</v>
      </c>
      <c r="L76" s="22">
        <f>L71-'Obliczenia-AF'!L26+33500000*6.5%+45000*2*1.61+70000*1.61+80000*1.61+50000*1.61</f>
        <v>28414523.625</v>
      </c>
      <c r="M76" s="22">
        <f>M71-'Obliczenia-AF'!M26+33500000*6.5%+45000*2*1.61+70000*1.61+80000*1.61+50000*1.61</f>
        <v>28414523.625</v>
      </c>
      <c r="N76" s="22">
        <f>N71-'Obliczenia-AF'!N26+33500000*6.5%+45000*2*1.61+70000*1.61+80000*1.61+50000*1.61</f>
        <v>28414523.625</v>
      </c>
      <c r="O76" s="22">
        <f>O71-'Obliczenia-AF'!O26+33500000*6.5%+45000*2*1.61+70000*1.61+80000*1.61+50000*1.61</f>
        <v>28414523.625</v>
      </c>
      <c r="P76" s="22">
        <f>P71-'Obliczenia-AF'!P26+33500000*6.5%+45000*2*1.61+70000*1.61+80000*1.61+50000*1.61</f>
        <v>28414523.625</v>
      </c>
      <c r="Q76" s="22">
        <f>Q71-'Obliczenia-AF'!Q26+33500000*6.5%+45000*2*1.61+70000*1.61+80000*1.61+50000*1.61</f>
        <v>28414523.625</v>
      </c>
      <c r="R76" s="22">
        <f>R71-'Obliczenia-AF'!R26+33500000*6.5%+45000*2*1.61+70000*1.61+80000*1.61+50000*1.61</f>
        <v>28414523.625</v>
      </c>
      <c r="S76" s="22">
        <f>S71-'Obliczenia-AF'!S26+33500000*6.5%+45000*2*1.61+70000*1.61+80000*1.61+50000*1.61</f>
        <v>28414523.625</v>
      </c>
      <c r="T76" s="22">
        <f>T71-'Obliczenia-AF'!T26+33500000*6.5%+45000*2*1.61+70000*1.61+80000*1.61+50000*1.61</f>
        <v>28935885.391249999</v>
      </c>
      <c r="U76" s="22">
        <f>U71-'Obliczenia-AF'!U26+33500000*6.5%+45000*2*1.61+70000*1.61+80000*1.61+50000*1.61</f>
        <v>28935885.391249999</v>
      </c>
      <c r="V76" s="22">
        <f>V71-'Obliczenia-AF'!V26+33500000*6.5%+45000*2*1.61+70000*1.61+80000*1.61+50000*1.61</f>
        <v>28935885.391249999</v>
      </c>
      <c r="W76" s="22">
        <f>W71-'Obliczenia-AF'!W26+33500000*6.5%+45000*2*1.61+70000*1.61+80000*1.61+50000*1.61</f>
        <v>28935885.391249999</v>
      </c>
      <c r="X76" s="22">
        <f>X71-'Obliczenia-AF'!X26+33500000*6.5%+45000*2*1.61+70000*1.61+80000*1.61+50000*1.61</f>
        <v>28935885.391249999</v>
      </c>
      <c r="Y76" s="22">
        <f>Y71-'Obliczenia-AF'!Y26+33500000*6.5%+45000*2*1.61+70000*1.61+80000*1.61+50000*1.61</f>
        <v>29457247.157499999</v>
      </c>
      <c r="Z76" s="22">
        <f>Z71-'Obliczenia-AF'!Z26+33500000*6.5%+45000*2*1.61+70000*1.61+80000*1.61+50000*1.61</f>
        <v>31977247.157499999</v>
      </c>
      <c r="AA76" s="22">
        <f>AA71-'Obliczenia-AF'!AA26+33500000*6.5%+45000*2*1.61+70000*1.61+80000*1.61+50000*1.61</f>
        <v>31977247.157499999</v>
      </c>
      <c r="AB76" s="22">
        <f>AB71-'Obliczenia-AF'!AB26+33500000*6.5%+45000*2*1.61+70000*1.61+80000*1.61+50000*1.61</f>
        <v>31977247.157499999</v>
      </c>
      <c r="AC76" s="22">
        <f>AC71-'Obliczenia-AF'!AC26+33500000*6.5%+45000*2*1.61+70000*1.61+80000*1.61+50000*1.61</f>
        <v>31977247.157499999</v>
      </c>
      <c r="AD76" s="22">
        <f>AD71-'Obliczenia-AF'!AD26+33500000*6.5%+45000*2*1.61+70000*1.61+80000*1.61+50000*1.61</f>
        <v>32498608.923750002</v>
      </c>
      <c r="AE76" s="22">
        <f>AE71-'Obliczenia-AF'!AE26+33500000*6.5%+45000*2*1.61+70000*1.61+80000*1.61+50000*1.61</f>
        <v>32498608.923750002</v>
      </c>
      <c r="AF76" s="22">
        <f>AF71-'Obliczenia-AF'!AF26+33500000*6.5%+45000*2*1.61+70000*1.61+80000*1.61+50000*1.61</f>
        <v>32498608.923750002</v>
      </c>
      <c r="AG76" s="22">
        <f>AG71-'Obliczenia-AF'!AG26+33500000*6.5%+45000*2*1.61+70000*1.61+80000*1.61+50000*1.61</f>
        <v>32498608.923750002</v>
      </c>
    </row>
    <row r="77" spans="1:34" s="51" customFormat="1" ht="15.75" hidden="1" x14ac:dyDescent="0.25">
      <c r="A77" s="59" t="s">
        <v>255</v>
      </c>
      <c r="B77" s="7" t="s">
        <v>371</v>
      </c>
      <c r="C77" s="205">
        <f>NPV($C$13,E77:AG77)+D77</f>
        <v>33572465.657831199</v>
      </c>
      <c r="D77" s="22">
        <f t="shared" si="35"/>
        <v>0</v>
      </c>
      <c r="E77" s="22">
        <f t="shared" si="34"/>
        <v>0</v>
      </c>
      <c r="F77" s="22">
        <f t="shared" si="34"/>
        <v>0</v>
      </c>
      <c r="G77" s="22">
        <f t="shared" si="34"/>
        <v>0</v>
      </c>
      <c r="H77" s="22">
        <f t="shared" si="34"/>
        <v>0</v>
      </c>
      <c r="I77" s="22">
        <f t="shared" si="34"/>
        <v>0</v>
      </c>
      <c r="J77" s="22">
        <f t="shared" si="34"/>
        <v>3105227.28</v>
      </c>
      <c r="K77" s="22">
        <f t="shared" si="34"/>
        <v>3105227.28</v>
      </c>
      <c r="L77" s="22">
        <f t="shared" si="34"/>
        <v>3105227.28</v>
      </c>
      <c r="M77" s="22">
        <f t="shared" si="34"/>
        <v>3105227.28</v>
      </c>
      <c r="N77" s="22">
        <f t="shared" si="34"/>
        <v>3105227.28</v>
      </c>
      <c r="O77" s="22">
        <f t="shared" si="34"/>
        <v>3105227.28</v>
      </c>
      <c r="P77" s="22">
        <f t="shared" si="34"/>
        <v>3105227.28</v>
      </c>
      <c r="Q77" s="22">
        <f t="shared" si="34"/>
        <v>3105227.28</v>
      </c>
      <c r="R77" s="22">
        <f t="shared" si="34"/>
        <v>3105227.28</v>
      </c>
      <c r="S77" s="22">
        <f t="shared" si="34"/>
        <v>3105227.28</v>
      </c>
      <c r="T77" s="22">
        <f t="shared" si="34"/>
        <v>3105227.28</v>
      </c>
      <c r="U77" s="22">
        <f t="shared" si="34"/>
        <v>3105227.28</v>
      </c>
      <c r="V77" s="22">
        <f t="shared" si="34"/>
        <v>3105227.28</v>
      </c>
      <c r="W77" s="22">
        <f t="shared" si="34"/>
        <v>3105227.28</v>
      </c>
      <c r="X77" s="22">
        <f t="shared" si="34"/>
        <v>3105227.28</v>
      </c>
      <c r="Y77" s="22">
        <f t="shared" si="34"/>
        <v>3105227.28</v>
      </c>
      <c r="Z77" s="22">
        <f t="shared" si="34"/>
        <v>3105227.28</v>
      </c>
      <c r="AA77" s="22">
        <f t="shared" si="34"/>
        <v>3105227.28</v>
      </c>
      <c r="AB77" s="22">
        <f t="shared" si="34"/>
        <v>3105227.28</v>
      </c>
      <c r="AC77" s="22">
        <f t="shared" si="34"/>
        <v>3105227.28</v>
      </c>
      <c r="AD77" s="22">
        <f t="shared" si="34"/>
        <v>3105227.28</v>
      </c>
      <c r="AE77" s="22">
        <f t="shared" si="34"/>
        <v>3105227.28</v>
      </c>
      <c r="AF77" s="22">
        <f t="shared" si="34"/>
        <v>3105227.28</v>
      </c>
      <c r="AG77" s="22">
        <f t="shared" si="34"/>
        <v>3105227.28</v>
      </c>
    </row>
    <row r="78" spans="1:34" s="1" customFormat="1" ht="15.75" hidden="1" x14ac:dyDescent="0.25">
      <c r="A78" s="125" t="s">
        <v>256</v>
      </c>
      <c r="B78" s="317" t="s">
        <v>372</v>
      </c>
      <c r="C78" s="23">
        <f>(C76+C75)/C77</f>
        <v>24.460026308838835</v>
      </c>
      <c r="D78" s="377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</row>
    <row r="79" spans="1:34" s="1" customFormat="1" ht="13.5" hidden="1" x14ac:dyDescent="0.25">
      <c r="A79" s="21" t="s">
        <v>258</v>
      </c>
      <c r="B79" s="21"/>
      <c r="C79" s="4">
        <v>0.05</v>
      </c>
      <c r="D79" s="378"/>
    </row>
    <row r="80" spans="1:34" hidden="1" x14ac:dyDescent="0.2"/>
  </sheetData>
  <mergeCells count="155">
    <mergeCell ref="AD68:AD69"/>
    <mergeCell ref="AE68:AE69"/>
    <mergeCell ref="AF68:AF69"/>
    <mergeCell ref="AG68:AG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AG54:AG55"/>
    <mergeCell ref="AB54:AB55"/>
    <mergeCell ref="AC54:AC55"/>
    <mergeCell ref="AD54:AD55"/>
    <mergeCell ref="AE54:AE55"/>
    <mergeCell ref="AF54:AF55"/>
    <mergeCell ref="W54:W55"/>
    <mergeCell ref="X54:X55"/>
    <mergeCell ref="Y54:Y55"/>
    <mergeCell ref="Z54:Z55"/>
    <mergeCell ref="AA54:AA55"/>
    <mergeCell ref="R54:R55"/>
    <mergeCell ref="S54:S55"/>
    <mergeCell ref="T54:T55"/>
    <mergeCell ref="U54:U55"/>
    <mergeCell ref="V54:V55"/>
    <mergeCell ref="M54:M55"/>
    <mergeCell ref="N54:N55"/>
    <mergeCell ref="O54:O55"/>
    <mergeCell ref="P54:P55"/>
    <mergeCell ref="Q54:Q55"/>
    <mergeCell ref="H54:H55"/>
    <mergeCell ref="I54:I55"/>
    <mergeCell ref="J54:J55"/>
    <mergeCell ref="K54:K55"/>
    <mergeCell ref="L54:L55"/>
    <mergeCell ref="C54:C55"/>
    <mergeCell ref="D54:D55"/>
    <mergeCell ref="E54:E55"/>
    <mergeCell ref="F54:F55"/>
    <mergeCell ref="G54:G55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G2:AG3"/>
    <mergeCell ref="AB2:AB3"/>
    <mergeCell ref="AC2:AC3"/>
    <mergeCell ref="AD2:AD3"/>
    <mergeCell ref="AE2:AE3"/>
    <mergeCell ref="AF2:AF3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G16:AG17"/>
    <mergeCell ref="AB16:AB17"/>
    <mergeCell ref="AC16:AC17"/>
    <mergeCell ref="AD16:AD17"/>
    <mergeCell ref="AE16:AE17"/>
    <mergeCell ref="AF16:AF17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G40:AG41"/>
    <mergeCell ref="AB40:AB41"/>
    <mergeCell ref="AC40:AC41"/>
    <mergeCell ref="AD40:AD41"/>
    <mergeCell ref="AE40:AE41"/>
    <mergeCell ref="AF40:AF41"/>
  </mergeCells>
  <pageMargins left="0.55118110236220474" right="0.51181102362204722" top="0.98425196850393704" bottom="0.98425196850393704" header="0.51181102362204722" footer="0.51181102362204722"/>
  <pageSetup paperSize="8" scale="58" orientation="landscape" r:id="rId1"/>
  <headerFooter alignWithMargins="0"/>
  <rowBreaks count="1" manualBreakCount="1">
    <brk id="52" max="3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0"/>
  <sheetViews>
    <sheetView workbookViewId="0">
      <selection activeCell="D29" sqref="D29"/>
    </sheetView>
  </sheetViews>
  <sheetFormatPr defaultRowHeight="13.5" x14ac:dyDescent="0.25"/>
  <cols>
    <col min="1" max="2" width="9.140625" style="1"/>
    <col min="3" max="3" width="9.28515625" style="1" bestFit="1" customWidth="1"/>
    <col min="4" max="5" width="10.140625" style="1" bestFit="1" customWidth="1"/>
    <col min="6" max="16384" width="9.140625" style="1"/>
  </cols>
  <sheetData>
    <row r="1" spans="3:5" x14ac:dyDescent="0.25">
      <c r="D1" s="1" t="s">
        <v>376</v>
      </c>
    </row>
    <row r="2" spans="3:5" x14ac:dyDescent="0.25">
      <c r="C2" s="332" t="s">
        <v>373</v>
      </c>
      <c r="D2" s="332" t="s">
        <v>374</v>
      </c>
      <c r="E2" s="332" t="s">
        <v>375</v>
      </c>
    </row>
    <row r="3" spans="3:5" x14ac:dyDescent="0.25">
      <c r="C3" s="382">
        <v>2015</v>
      </c>
      <c r="D3" s="332">
        <f>'Obliczenia-AF'!E101</f>
        <v>10336458.797999999</v>
      </c>
      <c r="E3" s="332">
        <f>'Obliczenia-AF'!E121</f>
        <v>9106194.33495</v>
      </c>
    </row>
    <row r="4" spans="3:5" x14ac:dyDescent="0.25">
      <c r="C4" s="382">
        <v>2021</v>
      </c>
      <c r="D4" s="332">
        <f>'Obliczenia-AF'!K101</f>
        <v>11522409.498</v>
      </c>
      <c r="E4" s="332">
        <f>'Obliczenia-AF'!K121</f>
        <v>10919474.914949998</v>
      </c>
    </row>
    <row r="5" spans="3:5" x14ac:dyDescent="0.25">
      <c r="D5" s="1" t="s">
        <v>377</v>
      </c>
    </row>
    <row r="6" spans="3:5" x14ac:dyDescent="0.25">
      <c r="C6" s="332" t="s">
        <v>373</v>
      </c>
      <c r="D6" s="332" t="s">
        <v>374</v>
      </c>
      <c r="E6" s="332" t="s">
        <v>375</v>
      </c>
    </row>
    <row r="7" spans="3:5" x14ac:dyDescent="0.25">
      <c r="C7" s="382">
        <v>2015</v>
      </c>
      <c r="D7" s="332">
        <f>'Obliczenia-AF'!E102</f>
        <v>1302407.6000000001</v>
      </c>
      <c r="E7" s="332">
        <f>'Obliczenia-AF'!E122</f>
        <v>1001852.0000000001</v>
      </c>
    </row>
    <row r="8" spans="3:5" x14ac:dyDescent="0.25">
      <c r="C8" s="382">
        <v>2021</v>
      </c>
      <c r="D8" s="332">
        <f>'Obliczenia-AF'!K102</f>
        <v>1306203.6000000001</v>
      </c>
      <c r="E8" s="332">
        <f>'Obliczenia-AF'!K122</f>
        <v>1004772.0000000001</v>
      </c>
    </row>
    <row r="10" spans="3:5" x14ac:dyDescent="0.25">
      <c r="D10" s="1" t="s">
        <v>378</v>
      </c>
    </row>
    <row r="11" spans="3:5" x14ac:dyDescent="0.25">
      <c r="C11" s="332" t="s">
        <v>373</v>
      </c>
      <c r="D11" s="332" t="s">
        <v>374</v>
      </c>
      <c r="E11" s="332" t="s">
        <v>375</v>
      </c>
    </row>
    <row r="12" spans="3:5" x14ac:dyDescent="0.25">
      <c r="C12" s="382">
        <v>2015</v>
      </c>
      <c r="D12" s="332">
        <f>'Obliczenia-AF'!E103</f>
        <v>1930189.35</v>
      </c>
      <c r="E12" s="332">
        <f>'Obliczenia-AF'!E123</f>
        <v>1820981.3500000003</v>
      </c>
    </row>
    <row r="13" spans="3:5" x14ac:dyDescent="0.25">
      <c r="C13" s="382">
        <v>2021</v>
      </c>
      <c r="D13" s="332">
        <f>'Obliczenia-AF'!K103</f>
        <v>1955009.35</v>
      </c>
      <c r="E13" s="332">
        <f>'Obliczenia-AF'!K123</f>
        <v>1895441.3500000003</v>
      </c>
    </row>
    <row r="15" spans="3:5" x14ac:dyDescent="0.25">
      <c r="D15" s="1" t="s">
        <v>380</v>
      </c>
    </row>
    <row r="16" spans="3:5" x14ac:dyDescent="0.25">
      <c r="C16" s="332" t="s">
        <v>373</v>
      </c>
      <c r="D16" s="332" t="s">
        <v>374</v>
      </c>
      <c r="E16" s="332" t="s">
        <v>375</v>
      </c>
    </row>
    <row r="17" spans="3:5" x14ac:dyDescent="0.25">
      <c r="C17" s="382">
        <v>2015</v>
      </c>
      <c r="D17" s="332">
        <f>D3+D7+D12</f>
        <v>13569055.747999998</v>
      </c>
      <c r="E17" s="332">
        <f>E3+E7+E12</f>
        <v>11929027.68495</v>
      </c>
    </row>
    <row r="18" spans="3:5" x14ac:dyDescent="0.25">
      <c r="C18" s="382">
        <v>2021</v>
      </c>
      <c r="D18" s="332">
        <f>D4+D8+D13</f>
        <v>14783622.447999999</v>
      </c>
      <c r="E18" s="332">
        <f>E4+E8+E13</f>
        <v>13819688.264949998</v>
      </c>
    </row>
    <row r="19" spans="3:5" x14ac:dyDescent="0.25">
      <c r="C19" s="1" t="s">
        <v>428</v>
      </c>
      <c r="D19" s="332">
        <f>D18-D17</f>
        <v>1214566.7000000011</v>
      </c>
      <c r="E19" s="332">
        <f>E18-E17</f>
        <v>1890660.5799999982</v>
      </c>
    </row>
    <row r="20" spans="3:5" x14ac:dyDescent="0.25">
      <c r="C20" s="1" t="s">
        <v>429</v>
      </c>
      <c r="D20" s="108">
        <f>D19/D17</f>
        <v>8.9510038322233393E-2</v>
      </c>
      <c r="E20" s="108">
        <f>E19/E17</f>
        <v>0.15849242955360976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3.5" x14ac:dyDescent="0.25"/>
  <cols>
    <col min="1" max="2" width="9.140625" style="1"/>
    <col min="3" max="3" width="15" style="332" bestFit="1" customWidth="1"/>
    <col min="4" max="4" width="14.7109375" style="332" customWidth="1"/>
    <col min="5" max="5" width="10.140625" style="332" bestFit="1" customWidth="1"/>
    <col min="6" max="6" width="9.28515625" style="332" bestFit="1" customWidth="1"/>
    <col min="7" max="7" width="10.28515625" style="332" bestFit="1" customWidth="1"/>
    <col min="8" max="16384" width="9.140625" style="1"/>
  </cols>
  <sheetData>
    <row r="1" spans="1:8" ht="27" x14ac:dyDescent="0.25">
      <c r="A1" s="1" t="s">
        <v>186</v>
      </c>
      <c r="B1" s="1" t="s">
        <v>381</v>
      </c>
      <c r="C1" s="384" t="s">
        <v>382</v>
      </c>
      <c r="D1" s="384" t="s">
        <v>386</v>
      </c>
      <c r="E1" s="384" t="s">
        <v>383</v>
      </c>
      <c r="F1" s="384" t="s">
        <v>384</v>
      </c>
      <c r="G1" s="384" t="s">
        <v>385</v>
      </c>
      <c r="H1" s="384" t="s">
        <v>387</v>
      </c>
    </row>
    <row r="2" spans="1:8" x14ac:dyDescent="0.25">
      <c r="A2" s="1">
        <v>1</v>
      </c>
      <c r="B2" s="1">
        <v>2015</v>
      </c>
      <c r="C2" s="332">
        <f>343600+829000+594000+1158100+753800+34700+394800+995500+23800+388700+547000+13595700+59500</f>
        <v>19718200</v>
      </c>
      <c r="D2" s="332">
        <v>2318998</v>
      </c>
      <c r="E2" s="332">
        <f>C2-D2</f>
        <v>17399202</v>
      </c>
      <c r="F2" s="332">
        <f>E2-G2</f>
        <v>3830146.2520000022</v>
      </c>
      <c r="G2" s="332">
        <f>'Obliczenia-AF'!E100</f>
        <v>13569055.747999998</v>
      </c>
      <c r="H2" s="383">
        <f>F2/E2</f>
        <v>0.22013344359126369</v>
      </c>
    </row>
    <row r="3" spans="1:8" x14ac:dyDescent="0.25">
      <c r="A3" s="1">
        <v>2</v>
      </c>
      <c r="B3" s="1">
        <v>2016</v>
      </c>
      <c r="C3" s="332">
        <f>C2*0.99</f>
        <v>19521018</v>
      </c>
      <c r="D3" s="332">
        <f>D2*C3/C2</f>
        <v>2295808.02</v>
      </c>
      <c r="E3" s="332">
        <f t="shared" ref="E3:E31" si="0">C3-D3</f>
        <v>17225209.98</v>
      </c>
      <c r="F3" s="332">
        <f t="shared" ref="F3:F31" si="1">E3-G3</f>
        <v>3656154.2320000026</v>
      </c>
      <c r="G3" s="332">
        <f>'Obliczenia-AF'!F100</f>
        <v>13569055.747999998</v>
      </c>
      <c r="H3" s="383">
        <f t="shared" ref="H3:H31" si="2">F3/E3</f>
        <v>0.2122560036275391</v>
      </c>
    </row>
    <row r="4" spans="1:8" x14ac:dyDescent="0.25">
      <c r="A4" s="1">
        <v>3</v>
      </c>
      <c r="B4" s="1">
        <v>2017</v>
      </c>
      <c r="C4" s="332">
        <f t="shared" ref="C4:C7" si="3">C3*0.99</f>
        <v>19325807.82</v>
      </c>
      <c r="D4" s="332">
        <f t="shared" ref="D4:D7" si="4">D3*C4/C3</f>
        <v>2272849.9398000003</v>
      </c>
      <c r="E4" s="332">
        <f t="shared" si="0"/>
        <v>17052957.880199999</v>
      </c>
      <c r="F4" s="332">
        <f t="shared" si="1"/>
        <v>3483902.1322000008</v>
      </c>
      <c r="G4" s="332">
        <f>'Obliczenia-AF'!G100</f>
        <v>13569055.747999998</v>
      </c>
      <c r="H4" s="383">
        <f t="shared" si="2"/>
        <v>0.20429899356317072</v>
      </c>
    </row>
    <row r="5" spans="1:8" x14ac:dyDescent="0.25">
      <c r="A5" s="1">
        <v>4</v>
      </c>
      <c r="B5" s="1">
        <v>2018</v>
      </c>
      <c r="C5" s="332">
        <f t="shared" si="3"/>
        <v>19132549.741799999</v>
      </c>
      <c r="D5" s="332">
        <f t="shared" si="4"/>
        <v>2250121.4404020002</v>
      </c>
      <c r="E5" s="332">
        <f t="shared" si="0"/>
        <v>16882428.301397998</v>
      </c>
      <c r="F5" s="332">
        <f t="shared" si="1"/>
        <v>3313372.5533980001</v>
      </c>
      <c r="G5" s="332">
        <f>'Obliczenia-AF'!H100</f>
        <v>13569055.747999998</v>
      </c>
      <c r="H5" s="383">
        <f t="shared" si="2"/>
        <v>0.19626160965976835</v>
      </c>
    </row>
    <row r="6" spans="1:8" x14ac:dyDescent="0.25">
      <c r="A6" s="1">
        <v>5</v>
      </c>
      <c r="B6" s="1">
        <v>2019</v>
      </c>
      <c r="C6" s="332">
        <f t="shared" si="3"/>
        <v>18941224.244381998</v>
      </c>
      <c r="D6" s="332">
        <f t="shared" si="4"/>
        <v>2227620.2259979802</v>
      </c>
      <c r="E6" s="332">
        <f t="shared" si="0"/>
        <v>16713604.018384017</v>
      </c>
      <c r="F6" s="332">
        <f t="shared" si="1"/>
        <v>3144548.2703840192</v>
      </c>
      <c r="G6" s="332">
        <f>'Obliczenia-AF'!I100</f>
        <v>13569055.747999998</v>
      </c>
      <c r="H6" s="383">
        <f t="shared" si="2"/>
        <v>0.18814304006037205</v>
      </c>
    </row>
    <row r="7" spans="1:8" x14ac:dyDescent="0.25">
      <c r="A7" s="1">
        <v>6</v>
      </c>
      <c r="B7" s="1">
        <v>2020</v>
      </c>
      <c r="C7" s="332">
        <f t="shared" si="3"/>
        <v>18751812.001938179</v>
      </c>
      <c r="D7" s="332">
        <f t="shared" si="4"/>
        <v>2205344.0237380005</v>
      </c>
      <c r="E7" s="332">
        <f t="shared" si="0"/>
        <v>16546467.978200179</v>
      </c>
      <c r="F7" s="332">
        <f t="shared" si="1"/>
        <v>2977412.2302001808</v>
      </c>
      <c r="G7" s="332">
        <f>'Obliczenia-AF'!J100</f>
        <v>13569055.747999998</v>
      </c>
      <c r="H7" s="383">
        <f t="shared" si="2"/>
        <v>0.1799424647074466</v>
      </c>
    </row>
    <row r="8" spans="1:8" x14ac:dyDescent="0.25">
      <c r="A8" s="1">
        <v>7</v>
      </c>
      <c r="B8" s="1">
        <v>2021</v>
      </c>
      <c r="C8" s="332">
        <f>C7</f>
        <v>18751812.001938179</v>
      </c>
      <c r="D8" s="332">
        <f>D7</f>
        <v>2205344.0237380005</v>
      </c>
      <c r="E8" s="332">
        <f t="shared" si="0"/>
        <v>16546467.978200179</v>
      </c>
      <c r="F8" s="332">
        <f t="shared" si="1"/>
        <v>1762845.5302001797</v>
      </c>
      <c r="G8" s="332">
        <f>'Obliczenia-AF'!K100</f>
        <v>14783622.447999999</v>
      </c>
      <c r="H8" s="383">
        <f t="shared" si="2"/>
        <v>0.10653908329697387</v>
      </c>
    </row>
    <row r="9" spans="1:8" x14ac:dyDescent="0.25">
      <c r="A9" s="1">
        <v>8</v>
      </c>
      <c r="B9" s="1">
        <v>2022</v>
      </c>
      <c r="C9" s="332">
        <f t="shared" ref="C9:C30" si="5">C8</f>
        <v>18751812.001938179</v>
      </c>
      <c r="D9" s="332">
        <f t="shared" ref="D9:D31" si="6">D8</f>
        <v>2205344.0237380005</v>
      </c>
      <c r="E9" s="332">
        <f t="shared" si="0"/>
        <v>16546467.978200179</v>
      </c>
      <c r="F9" s="332">
        <f t="shared" si="1"/>
        <v>1762845.5302001797</v>
      </c>
      <c r="G9" s="332">
        <f>'Obliczenia-AF'!L100</f>
        <v>14783622.447999999</v>
      </c>
      <c r="H9" s="383">
        <f t="shared" si="2"/>
        <v>0.10653908329697387</v>
      </c>
    </row>
    <row r="10" spans="1:8" x14ac:dyDescent="0.25">
      <c r="A10" s="1">
        <v>9</v>
      </c>
      <c r="B10" s="1">
        <v>2023</v>
      </c>
      <c r="C10" s="332">
        <f t="shared" si="5"/>
        <v>18751812.001938179</v>
      </c>
      <c r="D10" s="332">
        <f t="shared" si="6"/>
        <v>2205344.0237380005</v>
      </c>
      <c r="E10" s="332">
        <f t="shared" si="0"/>
        <v>16546467.978200179</v>
      </c>
      <c r="F10" s="332">
        <f t="shared" si="1"/>
        <v>1762845.5302001797</v>
      </c>
      <c r="G10" s="332">
        <f>'Obliczenia-AF'!M100</f>
        <v>14783622.447999999</v>
      </c>
      <c r="H10" s="383">
        <f t="shared" si="2"/>
        <v>0.10653908329697387</v>
      </c>
    </row>
    <row r="11" spans="1:8" x14ac:dyDescent="0.25">
      <c r="A11" s="1">
        <v>10</v>
      </c>
      <c r="B11" s="1">
        <v>2024</v>
      </c>
      <c r="C11" s="332">
        <f t="shared" si="5"/>
        <v>18751812.001938179</v>
      </c>
      <c r="D11" s="332">
        <f t="shared" si="6"/>
        <v>2205344.0237380005</v>
      </c>
      <c r="E11" s="332">
        <f t="shared" si="0"/>
        <v>16546467.978200179</v>
      </c>
      <c r="F11" s="332">
        <f t="shared" si="1"/>
        <v>1762845.5302001797</v>
      </c>
      <c r="G11" s="332">
        <f>'Obliczenia-AF'!N100</f>
        <v>14783622.447999999</v>
      </c>
      <c r="H11" s="383">
        <f t="shared" si="2"/>
        <v>0.10653908329697387</v>
      </c>
    </row>
    <row r="12" spans="1:8" x14ac:dyDescent="0.25">
      <c r="A12" s="1">
        <v>11</v>
      </c>
      <c r="B12" s="1">
        <v>2025</v>
      </c>
      <c r="C12" s="332">
        <f t="shared" si="5"/>
        <v>18751812.001938179</v>
      </c>
      <c r="D12" s="332">
        <f t="shared" si="6"/>
        <v>2205344.0237380005</v>
      </c>
      <c r="E12" s="332">
        <f t="shared" si="0"/>
        <v>16546467.978200179</v>
      </c>
      <c r="F12" s="332">
        <f t="shared" si="1"/>
        <v>1762845.5302001797</v>
      </c>
      <c r="G12" s="332">
        <f>'Obliczenia-AF'!O100</f>
        <v>14783622.447999999</v>
      </c>
      <c r="H12" s="383">
        <f t="shared" si="2"/>
        <v>0.10653908329697387</v>
      </c>
    </row>
    <row r="13" spans="1:8" x14ac:dyDescent="0.25">
      <c r="A13" s="1">
        <v>12</v>
      </c>
      <c r="B13" s="1">
        <v>2026</v>
      </c>
      <c r="C13" s="332">
        <f t="shared" si="5"/>
        <v>18751812.001938179</v>
      </c>
      <c r="D13" s="332">
        <f t="shared" si="6"/>
        <v>2205344.0237380005</v>
      </c>
      <c r="E13" s="332">
        <f t="shared" si="0"/>
        <v>16546467.978200179</v>
      </c>
      <c r="F13" s="332">
        <f t="shared" si="1"/>
        <v>1762845.5302001797</v>
      </c>
      <c r="G13" s="332">
        <f>'Obliczenia-AF'!P100</f>
        <v>14783622.447999999</v>
      </c>
      <c r="H13" s="383">
        <f t="shared" si="2"/>
        <v>0.10653908329697387</v>
      </c>
    </row>
    <row r="14" spans="1:8" x14ac:dyDescent="0.25">
      <c r="A14" s="1">
        <v>13</v>
      </c>
      <c r="B14" s="1">
        <v>2027</v>
      </c>
      <c r="C14" s="332">
        <f t="shared" si="5"/>
        <v>18751812.001938179</v>
      </c>
      <c r="D14" s="332">
        <f t="shared" si="6"/>
        <v>2205344.0237380005</v>
      </c>
      <c r="E14" s="332">
        <f t="shared" si="0"/>
        <v>16546467.978200179</v>
      </c>
      <c r="F14" s="332">
        <f t="shared" si="1"/>
        <v>1762845.5302001797</v>
      </c>
      <c r="G14" s="332">
        <f>'Obliczenia-AF'!Q100</f>
        <v>14783622.447999999</v>
      </c>
      <c r="H14" s="383">
        <f t="shared" si="2"/>
        <v>0.10653908329697387</v>
      </c>
    </row>
    <row r="15" spans="1:8" x14ac:dyDescent="0.25">
      <c r="A15" s="1">
        <v>14</v>
      </c>
      <c r="B15" s="1">
        <v>2028</v>
      </c>
      <c r="C15" s="332">
        <f t="shared" si="5"/>
        <v>18751812.001938179</v>
      </c>
      <c r="D15" s="332">
        <f t="shared" si="6"/>
        <v>2205344.0237380005</v>
      </c>
      <c r="E15" s="332">
        <f t="shared" si="0"/>
        <v>16546467.978200179</v>
      </c>
      <c r="F15" s="332">
        <f t="shared" si="1"/>
        <v>1762845.5302001797</v>
      </c>
      <c r="G15" s="332">
        <f>'Obliczenia-AF'!R100</f>
        <v>14783622.447999999</v>
      </c>
      <c r="H15" s="383">
        <f t="shared" si="2"/>
        <v>0.10653908329697387</v>
      </c>
    </row>
    <row r="16" spans="1:8" x14ac:dyDescent="0.25">
      <c r="A16" s="1">
        <v>15</v>
      </c>
      <c r="B16" s="1">
        <v>2029</v>
      </c>
      <c r="C16" s="332">
        <f t="shared" si="5"/>
        <v>18751812.001938179</v>
      </c>
      <c r="D16" s="332">
        <f t="shared" si="6"/>
        <v>2205344.0237380005</v>
      </c>
      <c r="E16" s="332">
        <f t="shared" si="0"/>
        <v>16546467.978200179</v>
      </c>
      <c r="F16" s="332">
        <f t="shared" si="1"/>
        <v>1762845.5302001797</v>
      </c>
      <c r="G16" s="332">
        <f>'Obliczenia-AF'!S100</f>
        <v>14783622.447999999</v>
      </c>
      <c r="H16" s="383">
        <f t="shared" si="2"/>
        <v>0.10653908329697387</v>
      </c>
    </row>
    <row r="17" spans="1:8" x14ac:dyDescent="0.25">
      <c r="A17" s="1">
        <v>16</v>
      </c>
      <c r="B17" s="1">
        <v>2030</v>
      </c>
      <c r="C17" s="332">
        <f t="shared" si="5"/>
        <v>18751812.001938179</v>
      </c>
      <c r="D17" s="332">
        <f t="shared" si="6"/>
        <v>2205344.0237380005</v>
      </c>
      <c r="E17" s="332">
        <f t="shared" si="0"/>
        <v>16546467.978200179</v>
      </c>
      <c r="F17" s="332">
        <f t="shared" si="1"/>
        <v>1762845.5302001797</v>
      </c>
      <c r="G17" s="332">
        <f>'Obliczenia-AF'!T100</f>
        <v>14783622.447999999</v>
      </c>
      <c r="H17" s="383">
        <f t="shared" si="2"/>
        <v>0.10653908329697387</v>
      </c>
    </row>
    <row r="18" spans="1:8" x14ac:dyDescent="0.25">
      <c r="A18" s="1">
        <v>17</v>
      </c>
      <c r="B18" s="1">
        <v>2031</v>
      </c>
      <c r="C18" s="332">
        <f t="shared" si="5"/>
        <v>18751812.001938179</v>
      </c>
      <c r="D18" s="332">
        <f t="shared" si="6"/>
        <v>2205344.0237380005</v>
      </c>
      <c r="E18" s="332">
        <f t="shared" si="0"/>
        <v>16546467.978200179</v>
      </c>
      <c r="F18" s="332">
        <f t="shared" si="1"/>
        <v>1762845.5302001797</v>
      </c>
      <c r="G18" s="332">
        <f>'Obliczenia-AF'!U100</f>
        <v>14783622.447999999</v>
      </c>
      <c r="H18" s="383">
        <f t="shared" si="2"/>
        <v>0.10653908329697387</v>
      </c>
    </row>
    <row r="19" spans="1:8" x14ac:dyDescent="0.25">
      <c r="A19" s="1">
        <v>18</v>
      </c>
      <c r="B19" s="1">
        <v>2032</v>
      </c>
      <c r="C19" s="332">
        <f t="shared" si="5"/>
        <v>18751812.001938179</v>
      </c>
      <c r="D19" s="332">
        <f t="shared" si="6"/>
        <v>2205344.0237380005</v>
      </c>
      <c r="E19" s="332">
        <f t="shared" si="0"/>
        <v>16546467.978200179</v>
      </c>
      <c r="F19" s="332">
        <f t="shared" si="1"/>
        <v>1762845.5302001797</v>
      </c>
      <c r="G19" s="332">
        <f>'Obliczenia-AF'!V100</f>
        <v>14783622.447999999</v>
      </c>
      <c r="H19" s="383">
        <f t="shared" si="2"/>
        <v>0.10653908329697387</v>
      </c>
    </row>
    <row r="20" spans="1:8" x14ac:dyDescent="0.25">
      <c r="A20" s="1">
        <v>19</v>
      </c>
      <c r="B20" s="1">
        <v>2033</v>
      </c>
      <c r="C20" s="332">
        <f t="shared" si="5"/>
        <v>18751812.001938179</v>
      </c>
      <c r="D20" s="332">
        <f t="shared" si="6"/>
        <v>2205344.0237380005</v>
      </c>
      <c r="E20" s="332">
        <f t="shared" si="0"/>
        <v>16546467.978200179</v>
      </c>
      <c r="F20" s="332">
        <f t="shared" si="1"/>
        <v>1762845.5302001797</v>
      </c>
      <c r="G20" s="332">
        <f>'Obliczenia-AF'!W100</f>
        <v>14783622.447999999</v>
      </c>
      <c r="H20" s="383">
        <f t="shared" si="2"/>
        <v>0.10653908329697387</v>
      </c>
    </row>
    <row r="21" spans="1:8" x14ac:dyDescent="0.25">
      <c r="A21" s="1">
        <v>20</v>
      </c>
      <c r="B21" s="1">
        <v>2034</v>
      </c>
      <c r="C21" s="332">
        <f t="shared" si="5"/>
        <v>18751812.001938179</v>
      </c>
      <c r="D21" s="332">
        <f t="shared" si="6"/>
        <v>2205344.0237380005</v>
      </c>
      <c r="E21" s="332">
        <f t="shared" si="0"/>
        <v>16546467.978200179</v>
      </c>
      <c r="F21" s="332">
        <f t="shared" si="1"/>
        <v>1762845.5302001797</v>
      </c>
      <c r="G21" s="332">
        <f>'Obliczenia-AF'!X100</f>
        <v>14783622.447999999</v>
      </c>
      <c r="H21" s="383">
        <f t="shared" si="2"/>
        <v>0.10653908329697387</v>
      </c>
    </row>
    <row r="22" spans="1:8" x14ac:dyDescent="0.25">
      <c r="A22" s="1">
        <v>21</v>
      </c>
      <c r="B22" s="1">
        <v>2035</v>
      </c>
      <c r="C22" s="332">
        <f t="shared" si="5"/>
        <v>18751812.001938179</v>
      </c>
      <c r="D22" s="332">
        <f t="shared" si="6"/>
        <v>2205344.0237380005</v>
      </c>
      <c r="E22" s="332">
        <f t="shared" si="0"/>
        <v>16546467.978200179</v>
      </c>
      <c r="F22" s="332">
        <f t="shared" si="1"/>
        <v>1762845.5302001797</v>
      </c>
      <c r="G22" s="332">
        <f>'Obliczenia-AF'!Y100</f>
        <v>14783622.447999999</v>
      </c>
      <c r="H22" s="383">
        <f t="shared" si="2"/>
        <v>0.10653908329697387</v>
      </c>
    </row>
    <row r="23" spans="1:8" x14ac:dyDescent="0.25">
      <c r="A23" s="1">
        <v>22</v>
      </c>
      <c r="B23" s="1">
        <v>2036</v>
      </c>
      <c r="C23" s="332">
        <f t="shared" si="5"/>
        <v>18751812.001938179</v>
      </c>
      <c r="D23" s="332">
        <f t="shared" si="6"/>
        <v>2205344.0237380005</v>
      </c>
      <c r="E23" s="332">
        <f t="shared" si="0"/>
        <v>16546467.978200179</v>
      </c>
      <c r="F23" s="332">
        <f t="shared" si="1"/>
        <v>1762845.5302001797</v>
      </c>
      <c r="G23" s="332">
        <f>'Obliczenia-AF'!Z100</f>
        <v>14783622.447999999</v>
      </c>
      <c r="H23" s="383">
        <f t="shared" si="2"/>
        <v>0.10653908329697387</v>
      </c>
    </row>
    <row r="24" spans="1:8" x14ac:dyDescent="0.25">
      <c r="A24" s="1">
        <v>23</v>
      </c>
      <c r="B24" s="1">
        <v>2037</v>
      </c>
      <c r="C24" s="332">
        <f t="shared" si="5"/>
        <v>18751812.001938179</v>
      </c>
      <c r="D24" s="332">
        <f t="shared" si="6"/>
        <v>2205344.0237380005</v>
      </c>
      <c r="E24" s="332">
        <f t="shared" si="0"/>
        <v>16546467.978200179</v>
      </c>
      <c r="F24" s="332">
        <f t="shared" si="1"/>
        <v>1762845.5302001797</v>
      </c>
      <c r="G24" s="332">
        <f>'Obliczenia-AF'!AA100</f>
        <v>14783622.447999999</v>
      </c>
      <c r="H24" s="383">
        <f t="shared" si="2"/>
        <v>0.10653908329697387</v>
      </c>
    </row>
    <row r="25" spans="1:8" x14ac:dyDescent="0.25">
      <c r="A25" s="1">
        <v>24</v>
      </c>
      <c r="B25" s="1">
        <v>2038</v>
      </c>
      <c r="C25" s="332">
        <f t="shared" si="5"/>
        <v>18751812.001938179</v>
      </c>
      <c r="D25" s="332">
        <f t="shared" si="6"/>
        <v>2205344.0237380005</v>
      </c>
      <c r="E25" s="332">
        <f t="shared" si="0"/>
        <v>16546467.978200179</v>
      </c>
      <c r="F25" s="332">
        <f t="shared" si="1"/>
        <v>1762845.5302001797</v>
      </c>
      <c r="G25" s="332">
        <f>'Obliczenia-AF'!AB100</f>
        <v>14783622.447999999</v>
      </c>
      <c r="H25" s="383">
        <f t="shared" si="2"/>
        <v>0.10653908329697387</v>
      </c>
    </row>
    <row r="26" spans="1:8" x14ac:dyDescent="0.25">
      <c r="A26" s="1">
        <v>25</v>
      </c>
      <c r="B26" s="1">
        <v>2039</v>
      </c>
      <c r="C26" s="332">
        <f t="shared" si="5"/>
        <v>18751812.001938179</v>
      </c>
      <c r="D26" s="332">
        <f t="shared" si="6"/>
        <v>2205344.0237380005</v>
      </c>
      <c r="E26" s="332">
        <f t="shared" si="0"/>
        <v>16546467.978200179</v>
      </c>
      <c r="F26" s="332">
        <f t="shared" si="1"/>
        <v>1762845.5302001797</v>
      </c>
      <c r="G26" s="332">
        <f>'Obliczenia-AF'!AC100</f>
        <v>14783622.447999999</v>
      </c>
      <c r="H26" s="383">
        <f t="shared" si="2"/>
        <v>0.10653908329697387</v>
      </c>
    </row>
    <row r="27" spans="1:8" x14ac:dyDescent="0.25">
      <c r="A27" s="1">
        <v>26</v>
      </c>
      <c r="B27" s="1">
        <v>2040</v>
      </c>
      <c r="C27" s="332">
        <f t="shared" si="5"/>
        <v>18751812.001938179</v>
      </c>
      <c r="D27" s="332">
        <f t="shared" si="6"/>
        <v>2205344.0237380005</v>
      </c>
      <c r="E27" s="332">
        <f t="shared" si="0"/>
        <v>16546467.978200179</v>
      </c>
      <c r="F27" s="332">
        <f t="shared" si="1"/>
        <v>1762845.5302001797</v>
      </c>
      <c r="G27" s="332">
        <f>'Obliczenia-AF'!AD100</f>
        <v>14783622.447999999</v>
      </c>
      <c r="H27" s="383">
        <f t="shared" si="2"/>
        <v>0.10653908329697387</v>
      </c>
    </row>
    <row r="28" spans="1:8" x14ac:dyDescent="0.25">
      <c r="A28" s="1">
        <v>27</v>
      </c>
      <c r="B28" s="1">
        <v>2041</v>
      </c>
      <c r="C28" s="332">
        <f t="shared" si="5"/>
        <v>18751812.001938179</v>
      </c>
      <c r="D28" s="332">
        <f t="shared" si="6"/>
        <v>2205344.0237380005</v>
      </c>
      <c r="E28" s="332">
        <f t="shared" si="0"/>
        <v>16546467.978200179</v>
      </c>
      <c r="F28" s="332">
        <f t="shared" si="1"/>
        <v>1762845.5302001797</v>
      </c>
      <c r="G28" s="332">
        <f>'Obliczenia-AF'!AE100</f>
        <v>14783622.447999999</v>
      </c>
      <c r="H28" s="383">
        <f t="shared" si="2"/>
        <v>0.10653908329697387</v>
      </c>
    </row>
    <row r="29" spans="1:8" x14ac:dyDescent="0.25">
      <c r="A29" s="1">
        <v>28</v>
      </c>
      <c r="B29" s="1">
        <v>2042</v>
      </c>
      <c r="C29" s="332">
        <f t="shared" si="5"/>
        <v>18751812.001938179</v>
      </c>
      <c r="D29" s="332">
        <f t="shared" si="6"/>
        <v>2205344.0237380005</v>
      </c>
      <c r="E29" s="332">
        <f t="shared" si="0"/>
        <v>16546467.978200179</v>
      </c>
      <c r="F29" s="332">
        <f t="shared" si="1"/>
        <v>1762845.5302001797</v>
      </c>
      <c r="G29" s="332">
        <f>'Obliczenia-AF'!AF100</f>
        <v>14783622.447999999</v>
      </c>
      <c r="H29" s="383">
        <f t="shared" si="2"/>
        <v>0.10653908329697387</v>
      </c>
    </row>
    <row r="30" spans="1:8" x14ac:dyDescent="0.25">
      <c r="A30" s="1">
        <v>29</v>
      </c>
      <c r="B30" s="1">
        <v>2043</v>
      </c>
      <c r="C30" s="332">
        <f t="shared" si="5"/>
        <v>18751812.001938179</v>
      </c>
      <c r="D30" s="332">
        <f t="shared" si="6"/>
        <v>2205344.0237380005</v>
      </c>
      <c r="E30" s="332">
        <f t="shared" si="0"/>
        <v>16546467.978200179</v>
      </c>
      <c r="F30" s="332">
        <f t="shared" si="1"/>
        <v>1762845.5302001797</v>
      </c>
      <c r="G30" s="332">
        <f>'Obliczenia-AF'!AG100</f>
        <v>14783622.447999999</v>
      </c>
      <c r="H30" s="383">
        <f t="shared" si="2"/>
        <v>0.10653908329697387</v>
      </c>
    </row>
    <row r="31" spans="1:8" x14ac:dyDescent="0.25">
      <c r="A31" s="1">
        <v>30</v>
      </c>
      <c r="B31" s="1">
        <v>2044</v>
      </c>
      <c r="C31" s="332">
        <f>C30</f>
        <v>18751812.001938179</v>
      </c>
      <c r="D31" s="332">
        <f t="shared" si="6"/>
        <v>2205344.0237380005</v>
      </c>
      <c r="E31" s="332">
        <f t="shared" si="0"/>
        <v>16546467.978200179</v>
      </c>
      <c r="F31" s="332">
        <f t="shared" si="1"/>
        <v>1762845.5302001797</v>
      </c>
      <c r="G31" s="332">
        <f>'Obliczenia-AF'!AH100</f>
        <v>14783622.447999999</v>
      </c>
      <c r="H31" s="383">
        <f t="shared" si="2"/>
        <v>0.10653908329697387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2" sqref="D2:F8"/>
    </sheetView>
  </sheetViews>
  <sheetFormatPr defaultRowHeight="13.5" x14ac:dyDescent="0.25"/>
  <cols>
    <col min="1" max="2" width="9.140625" style="1"/>
    <col min="3" max="3" width="10.28515625" style="332" bestFit="1" customWidth="1"/>
    <col min="4" max="4" width="10.28515625" style="332" customWidth="1"/>
    <col min="5" max="5" width="14.42578125" style="332" bestFit="1" customWidth="1"/>
    <col min="6" max="6" width="9.140625" style="383"/>
    <col min="7" max="16384" width="9.140625" style="1"/>
  </cols>
  <sheetData>
    <row r="1" spans="1:6" ht="54" x14ac:dyDescent="0.25">
      <c r="A1" s="1" t="s">
        <v>186</v>
      </c>
      <c r="B1" s="1" t="s">
        <v>381</v>
      </c>
      <c r="C1" s="384" t="s">
        <v>388</v>
      </c>
      <c r="D1" s="384" t="s">
        <v>389</v>
      </c>
      <c r="E1" s="384" t="s">
        <v>390</v>
      </c>
      <c r="F1" s="385" t="s">
        <v>391</v>
      </c>
    </row>
    <row r="2" spans="1:6" x14ac:dyDescent="0.25">
      <c r="A2" s="1">
        <v>1</v>
      </c>
      <c r="B2" s="1">
        <v>2015</v>
      </c>
      <c r="C2" s="332">
        <f>'Obliczenia-AF'!E120</f>
        <v>11929027.68495</v>
      </c>
      <c r="D2" s="332">
        <f>E2-C2</f>
        <v>9123972.3150500003</v>
      </c>
      <c r="E2" s="386">
        <f>15006000+271000+216000+256000+768000+156000+160000+2970000+411000+266000+573000</f>
        <v>21053000</v>
      </c>
      <c r="F2" s="383">
        <f>D2/E2</f>
        <v>0.4333811007956111</v>
      </c>
    </row>
    <row r="3" spans="1:6" x14ac:dyDescent="0.25">
      <c r="A3" s="1">
        <v>2</v>
      </c>
      <c r="B3" s="1">
        <v>2016</v>
      </c>
      <c r="C3" s="332">
        <f>'Obliczenia-AF'!F120</f>
        <v>11929027.68495</v>
      </c>
      <c r="D3" s="332">
        <f t="shared" ref="D3:D31" si="0">E3-C3</f>
        <v>8702912.3150500003</v>
      </c>
      <c r="E3" s="386">
        <f>E2*0.98*C3/C2</f>
        <v>20631940</v>
      </c>
      <c r="F3" s="383">
        <f t="shared" ref="F3:F31" si="1">D3/E3</f>
        <v>0.42181744979143987</v>
      </c>
    </row>
    <row r="4" spans="1:6" x14ac:dyDescent="0.25">
      <c r="A4" s="1">
        <v>3</v>
      </c>
      <c r="B4" s="1">
        <v>2017</v>
      </c>
      <c r="C4" s="332">
        <f>'Obliczenia-AF'!G120</f>
        <v>11929027.68495</v>
      </c>
      <c r="D4" s="332">
        <f t="shared" si="0"/>
        <v>8290273.5150499996</v>
      </c>
      <c r="E4" s="386">
        <f t="shared" ref="E4:E7" si="2">E3*0.98*C4/C3</f>
        <v>20219301.199999999</v>
      </c>
      <c r="F4" s="383">
        <f t="shared" si="1"/>
        <v>0.41001780590963249</v>
      </c>
    </row>
    <row r="5" spans="1:6" x14ac:dyDescent="0.25">
      <c r="A5" s="1">
        <v>4</v>
      </c>
      <c r="B5" s="1">
        <v>2018</v>
      </c>
      <c r="C5" s="332">
        <f>'Obliczenia-AF'!H120</f>
        <v>11929027.68495</v>
      </c>
      <c r="D5" s="332">
        <f t="shared" si="0"/>
        <v>7885887.4910499994</v>
      </c>
      <c r="E5" s="386">
        <f t="shared" si="2"/>
        <v>19814915.175999999</v>
      </c>
      <c r="F5" s="383">
        <f t="shared" si="1"/>
        <v>0.39797735296901277</v>
      </c>
    </row>
    <row r="6" spans="1:6" x14ac:dyDescent="0.25">
      <c r="A6" s="1">
        <v>5</v>
      </c>
      <c r="B6" s="1">
        <v>2019</v>
      </c>
      <c r="C6" s="332">
        <f>'Obliczenia-AF'!I120</f>
        <v>11929027.68495</v>
      </c>
      <c r="D6" s="332">
        <f t="shared" si="0"/>
        <v>7489589.1875299979</v>
      </c>
      <c r="E6" s="386">
        <f t="shared" si="2"/>
        <v>19418616.872479998</v>
      </c>
      <c r="F6" s="383">
        <f t="shared" si="1"/>
        <v>0.38569117649899259</v>
      </c>
    </row>
    <row r="7" spans="1:6" x14ac:dyDescent="0.25">
      <c r="A7" s="1">
        <v>6</v>
      </c>
      <c r="B7" s="1">
        <v>2020</v>
      </c>
      <c r="C7" s="332">
        <f>'Obliczenia-AF'!J120</f>
        <v>11929027.68495</v>
      </c>
      <c r="D7" s="332">
        <f t="shared" si="0"/>
        <v>7101216.8500803988</v>
      </c>
      <c r="E7" s="386">
        <f t="shared" si="2"/>
        <v>19030244.535030399</v>
      </c>
      <c r="F7" s="383">
        <f t="shared" si="1"/>
        <v>0.37315426173366589</v>
      </c>
    </row>
    <row r="8" spans="1:6" x14ac:dyDescent="0.25">
      <c r="A8" s="1">
        <v>7</v>
      </c>
      <c r="B8" s="1">
        <v>2021</v>
      </c>
      <c r="C8" s="332">
        <f>'Obliczenia-AF'!K120</f>
        <v>13819688.264949998</v>
      </c>
      <c r="D8" s="332">
        <f t="shared" si="0"/>
        <v>5210556.2700804006</v>
      </c>
      <c r="E8" s="386">
        <f>E7</f>
        <v>19030244.535030399</v>
      </c>
      <c r="F8" s="383">
        <f t="shared" si="1"/>
        <v>0.27380395772050847</v>
      </c>
    </row>
    <row r="9" spans="1:6" x14ac:dyDescent="0.25">
      <c r="A9" s="1">
        <v>8</v>
      </c>
      <c r="B9" s="1">
        <v>2022</v>
      </c>
      <c r="C9" s="332">
        <f>'Obliczenia-AF'!L120</f>
        <v>13819688.264949998</v>
      </c>
      <c r="D9" s="332">
        <f t="shared" si="0"/>
        <v>5210556.2700804006</v>
      </c>
      <c r="E9" s="386">
        <f t="shared" ref="E9:E30" si="3">E8</f>
        <v>19030244.535030399</v>
      </c>
      <c r="F9" s="383">
        <f t="shared" si="1"/>
        <v>0.27380395772050847</v>
      </c>
    </row>
    <row r="10" spans="1:6" x14ac:dyDescent="0.25">
      <c r="A10" s="1">
        <v>9</v>
      </c>
      <c r="B10" s="1">
        <v>2023</v>
      </c>
      <c r="C10" s="332">
        <f>'Obliczenia-AF'!M120</f>
        <v>13819688.264949998</v>
      </c>
      <c r="D10" s="332">
        <f t="shared" si="0"/>
        <v>5210556.2700804006</v>
      </c>
      <c r="E10" s="386">
        <f t="shared" si="3"/>
        <v>19030244.535030399</v>
      </c>
      <c r="F10" s="383">
        <f t="shared" si="1"/>
        <v>0.27380395772050847</v>
      </c>
    </row>
    <row r="11" spans="1:6" x14ac:dyDescent="0.25">
      <c r="A11" s="1">
        <v>10</v>
      </c>
      <c r="B11" s="1">
        <v>2024</v>
      </c>
      <c r="C11" s="332">
        <f>'Obliczenia-AF'!N120</f>
        <v>13819688.264949998</v>
      </c>
      <c r="D11" s="332">
        <f t="shared" si="0"/>
        <v>5210556.2700804006</v>
      </c>
      <c r="E11" s="386">
        <f t="shared" si="3"/>
        <v>19030244.535030399</v>
      </c>
      <c r="F11" s="383">
        <f t="shared" si="1"/>
        <v>0.27380395772050847</v>
      </c>
    </row>
    <row r="12" spans="1:6" x14ac:dyDescent="0.25">
      <c r="A12" s="1">
        <v>11</v>
      </c>
      <c r="B12" s="1">
        <v>2025</v>
      </c>
      <c r="C12" s="332">
        <f>'Obliczenia-AF'!O120</f>
        <v>13819688.264949998</v>
      </c>
      <c r="D12" s="332">
        <f t="shared" si="0"/>
        <v>5210556.2700804006</v>
      </c>
      <c r="E12" s="386">
        <f t="shared" si="3"/>
        <v>19030244.535030399</v>
      </c>
      <c r="F12" s="383">
        <f t="shared" si="1"/>
        <v>0.27380395772050847</v>
      </c>
    </row>
    <row r="13" spans="1:6" x14ac:dyDescent="0.25">
      <c r="A13" s="1">
        <v>12</v>
      </c>
      <c r="B13" s="1">
        <v>2026</v>
      </c>
      <c r="C13" s="332">
        <f>'Obliczenia-AF'!P120</f>
        <v>13819688.264949998</v>
      </c>
      <c r="D13" s="332">
        <f t="shared" si="0"/>
        <v>5210556.2700804006</v>
      </c>
      <c r="E13" s="386">
        <f t="shared" si="3"/>
        <v>19030244.535030399</v>
      </c>
      <c r="F13" s="383">
        <f t="shared" si="1"/>
        <v>0.27380395772050847</v>
      </c>
    </row>
    <row r="14" spans="1:6" x14ac:dyDescent="0.25">
      <c r="A14" s="1">
        <v>13</v>
      </c>
      <c r="B14" s="1">
        <v>2027</v>
      </c>
      <c r="C14" s="332">
        <f>'Obliczenia-AF'!Q120</f>
        <v>13819688.264949998</v>
      </c>
      <c r="D14" s="332">
        <f t="shared" si="0"/>
        <v>5210556.2700804006</v>
      </c>
      <c r="E14" s="386">
        <f t="shared" si="3"/>
        <v>19030244.535030399</v>
      </c>
      <c r="F14" s="383">
        <f t="shared" si="1"/>
        <v>0.27380395772050847</v>
      </c>
    </row>
    <row r="15" spans="1:6" x14ac:dyDescent="0.25">
      <c r="A15" s="1">
        <v>14</v>
      </c>
      <c r="B15" s="1">
        <v>2028</v>
      </c>
      <c r="C15" s="332">
        <f>'Obliczenia-AF'!R120</f>
        <v>13819688.264949998</v>
      </c>
      <c r="D15" s="332">
        <f t="shared" si="0"/>
        <v>5210556.2700804006</v>
      </c>
      <c r="E15" s="386">
        <f t="shared" si="3"/>
        <v>19030244.535030399</v>
      </c>
      <c r="F15" s="383">
        <f t="shared" si="1"/>
        <v>0.27380395772050847</v>
      </c>
    </row>
    <row r="16" spans="1:6" x14ac:dyDescent="0.25">
      <c r="A16" s="1">
        <v>15</v>
      </c>
      <c r="B16" s="1">
        <v>2029</v>
      </c>
      <c r="C16" s="332">
        <f>'Obliczenia-AF'!S120</f>
        <v>13819688.264949998</v>
      </c>
      <c r="D16" s="332">
        <f t="shared" si="0"/>
        <v>5210556.2700804006</v>
      </c>
      <c r="E16" s="386">
        <f t="shared" si="3"/>
        <v>19030244.535030399</v>
      </c>
      <c r="F16" s="383">
        <f t="shared" si="1"/>
        <v>0.27380395772050847</v>
      </c>
    </row>
    <row r="17" spans="1:6" x14ac:dyDescent="0.25">
      <c r="A17" s="1">
        <v>16</v>
      </c>
      <c r="B17" s="1">
        <v>2030</v>
      </c>
      <c r="C17" s="332">
        <f>'Obliczenia-AF'!T120</f>
        <v>13819688.264949998</v>
      </c>
      <c r="D17" s="332">
        <f t="shared" si="0"/>
        <v>5210556.2700804006</v>
      </c>
      <c r="E17" s="386">
        <f t="shared" si="3"/>
        <v>19030244.535030399</v>
      </c>
      <c r="F17" s="383">
        <f t="shared" si="1"/>
        <v>0.27380395772050847</v>
      </c>
    </row>
    <row r="18" spans="1:6" x14ac:dyDescent="0.25">
      <c r="A18" s="1">
        <v>17</v>
      </c>
      <c r="B18" s="1">
        <v>2031</v>
      </c>
      <c r="C18" s="332">
        <f>'Obliczenia-AF'!U120</f>
        <v>13819688.264949998</v>
      </c>
      <c r="D18" s="332">
        <f t="shared" si="0"/>
        <v>5210556.2700804006</v>
      </c>
      <c r="E18" s="386">
        <f t="shared" si="3"/>
        <v>19030244.535030399</v>
      </c>
      <c r="F18" s="383">
        <f t="shared" si="1"/>
        <v>0.27380395772050847</v>
      </c>
    </row>
    <row r="19" spans="1:6" x14ac:dyDescent="0.25">
      <c r="A19" s="1">
        <v>18</v>
      </c>
      <c r="B19" s="1">
        <v>2032</v>
      </c>
      <c r="C19" s="332">
        <f>'Obliczenia-AF'!V120</f>
        <v>13819688.264949998</v>
      </c>
      <c r="D19" s="332">
        <f t="shared" si="0"/>
        <v>5210556.2700804006</v>
      </c>
      <c r="E19" s="386">
        <f t="shared" si="3"/>
        <v>19030244.535030399</v>
      </c>
      <c r="F19" s="383">
        <f t="shared" si="1"/>
        <v>0.27380395772050847</v>
      </c>
    </row>
    <row r="20" spans="1:6" x14ac:dyDescent="0.25">
      <c r="A20" s="1">
        <v>19</v>
      </c>
      <c r="B20" s="1">
        <v>2033</v>
      </c>
      <c r="C20" s="332">
        <f>'Obliczenia-AF'!W120</f>
        <v>13819688.264949998</v>
      </c>
      <c r="D20" s="332">
        <f t="shared" si="0"/>
        <v>5210556.2700804006</v>
      </c>
      <c r="E20" s="386">
        <f t="shared" si="3"/>
        <v>19030244.535030399</v>
      </c>
      <c r="F20" s="383">
        <f t="shared" si="1"/>
        <v>0.27380395772050847</v>
      </c>
    </row>
    <row r="21" spans="1:6" x14ac:dyDescent="0.25">
      <c r="A21" s="1">
        <v>20</v>
      </c>
      <c r="B21" s="1">
        <v>2034</v>
      </c>
      <c r="C21" s="332">
        <f>'Obliczenia-AF'!X120</f>
        <v>13819688.264949998</v>
      </c>
      <c r="D21" s="332">
        <f t="shared" si="0"/>
        <v>5210556.2700804006</v>
      </c>
      <c r="E21" s="386">
        <f t="shared" si="3"/>
        <v>19030244.535030399</v>
      </c>
      <c r="F21" s="383">
        <f t="shared" si="1"/>
        <v>0.27380395772050847</v>
      </c>
    </row>
    <row r="22" spans="1:6" x14ac:dyDescent="0.25">
      <c r="A22" s="1">
        <v>21</v>
      </c>
      <c r="B22" s="1">
        <v>2035</v>
      </c>
      <c r="C22" s="332">
        <f>'Obliczenia-AF'!Y120</f>
        <v>13819688.264949998</v>
      </c>
      <c r="D22" s="332">
        <f t="shared" si="0"/>
        <v>5210556.2700804006</v>
      </c>
      <c r="E22" s="386">
        <f t="shared" si="3"/>
        <v>19030244.535030399</v>
      </c>
      <c r="F22" s="383">
        <f t="shared" si="1"/>
        <v>0.27380395772050847</v>
      </c>
    </row>
    <row r="23" spans="1:6" x14ac:dyDescent="0.25">
      <c r="A23" s="1">
        <v>22</v>
      </c>
      <c r="B23" s="1">
        <v>2036</v>
      </c>
      <c r="C23" s="332">
        <f>'Obliczenia-AF'!Z120</f>
        <v>13819688.264949998</v>
      </c>
      <c r="D23" s="332">
        <f t="shared" si="0"/>
        <v>5210556.2700804006</v>
      </c>
      <c r="E23" s="386">
        <f t="shared" si="3"/>
        <v>19030244.535030399</v>
      </c>
      <c r="F23" s="383">
        <f t="shared" si="1"/>
        <v>0.27380395772050847</v>
      </c>
    </row>
    <row r="24" spans="1:6" x14ac:dyDescent="0.25">
      <c r="A24" s="1">
        <v>23</v>
      </c>
      <c r="B24" s="1">
        <v>2037</v>
      </c>
      <c r="C24" s="332">
        <f>'Obliczenia-AF'!AA120</f>
        <v>13819688.264949998</v>
      </c>
      <c r="D24" s="332">
        <f t="shared" si="0"/>
        <v>5210556.2700804006</v>
      </c>
      <c r="E24" s="386">
        <f t="shared" si="3"/>
        <v>19030244.535030399</v>
      </c>
      <c r="F24" s="383">
        <f t="shared" si="1"/>
        <v>0.27380395772050847</v>
      </c>
    </row>
    <row r="25" spans="1:6" x14ac:dyDescent="0.25">
      <c r="A25" s="1">
        <v>24</v>
      </c>
      <c r="B25" s="1">
        <v>2038</v>
      </c>
      <c r="C25" s="332">
        <f>'Obliczenia-AF'!AB120</f>
        <v>13819688.264949998</v>
      </c>
      <c r="D25" s="332">
        <f t="shared" si="0"/>
        <v>5210556.2700804006</v>
      </c>
      <c r="E25" s="386">
        <f t="shared" si="3"/>
        <v>19030244.535030399</v>
      </c>
      <c r="F25" s="383">
        <f t="shared" si="1"/>
        <v>0.27380395772050847</v>
      </c>
    </row>
    <row r="26" spans="1:6" x14ac:dyDescent="0.25">
      <c r="A26" s="1">
        <v>25</v>
      </c>
      <c r="B26" s="1">
        <v>2039</v>
      </c>
      <c r="C26" s="332">
        <f>'Obliczenia-AF'!AC120</f>
        <v>13819688.264949998</v>
      </c>
      <c r="D26" s="332">
        <f t="shared" si="0"/>
        <v>5210556.2700804006</v>
      </c>
      <c r="E26" s="386">
        <f t="shared" si="3"/>
        <v>19030244.535030399</v>
      </c>
      <c r="F26" s="383">
        <f t="shared" si="1"/>
        <v>0.27380395772050847</v>
      </c>
    </row>
    <row r="27" spans="1:6" x14ac:dyDescent="0.25">
      <c r="A27" s="1">
        <v>26</v>
      </c>
      <c r="B27" s="1">
        <v>2040</v>
      </c>
      <c r="C27" s="332">
        <f>'Obliczenia-AF'!AD120</f>
        <v>13819688.264949998</v>
      </c>
      <c r="D27" s="332">
        <f t="shared" si="0"/>
        <v>5210556.2700804006</v>
      </c>
      <c r="E27" s="386">
        <f t="shared" si="3"/>
        <v>19030244.535030399</v>
      </c>
      <c r="F27" s="383">
        <f t="shared" si="1"/>
        <v>0.27380395772050847</v>
      </c>
    </row>
    <row r="28" spans="1:6" x14ac:dyDescent="0.25">
      <c r="A28" s="1">
        <v>27</v>
      </c>
      <c r="B28" s="1">
        <v>2041</v>
      </c>
      <c r="C28" s="332">
        <f>'Obliczenia-AF'!AE120</f>
        <v>13819688.264949998</v>
      </c>
      <c r="D28" s="332">
        <f t="shared" si="0"/>
        <v>5210556.2700804006</v>
      </c>
      <c r="E28" s="386">
        <f t="shared" si="3"/>
        <v>19030244.535030399</v>
      </c>
      <c r="F28" s="383">
        <f t="shared" si="1"/>
        <v>0.27380395772050847</v>
      </c>
    </row>
    <row r="29" spans="1:6" x14ac:dyDescent="0.25">
      <c r="A29" s="1">
        <v>28</v>
      </c>
      <c r="B29" s="1">
        <v>2042</v>
      </c>
      <c r="C29" s="332">
        <f>'Obliczenia-AF'!AF120</f>
        <v>13819688.264949998</v>
      </c>
      <c r="D29" s="332">
        <f t="shared" si="0"/>
        <v>5210556.2700804006</v>
      </c>
      <c r="E29" s="386">
        <f t="shared" si="3"/>
        <v>19030244.535030399</v>
      </c>
      <c r="F29" s="383">
        <f t="shared" si="1"/>
        <v>0.27380395772050847</v>
      </c>
    </row>
    <row r="30" spans="1:6" x14ac:dyDescent="0.25">
      <c r="A30" s="1">
        <v>29</v>
      </c>
      <c r="B30" s="1">
        <v>2043</v>
      </c>
      <c r="C30" s="332">
        <f>'Obliczenia-AF'!AG120</f>
        <v>13819688.264949998</v>
      </c>
      <c r="D30" s="332">
        <f t="shared" si="0"/>
        <v>5210556.2700804006</v>
      </c>
      <c r="E30" s="386">
        <f t="shared" si="3"/>
        <v>19030244.535030399</v>
      </c>
      <c r="F30" s="383">
        <f t="shared" si="1"/>
        <v>0.27380395772050847</v>
      </c>
    </row>
    <row r="31" spans="1:6" x14ac:dyDescent="0.25">
      <c r="A31" s="1">
        <v>30</v>
      </c>
      <c r="B31" s="1">
        <v>2044</v>
      </c>
      <c r="C31" s="332">
        <f>'Obliczenia-AF'!AH120</f>
        <v>13819688.264949998</v>
      </c>
      <c r="D31" s="332">
        <f t="shared" si="0"/>
        <v>5210556.2700804006</v>
      </c>
      <c r="E31" s="386">
        <f>E30</f>
        <v>19030244.535030399</v>
      </c>
      <c r="F31" s="383">
        <f t="shared" si="1"/>
        <v>0.27380395772050847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10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4</vt:i4>
      </vt:variant>
    </vt:vector>
  </HeadingPairs>
  <TitlesOfParts>
    <vt:vector size="15" baseType="lpstr">
      <vt:lpstr>Założenia-dane wejściowe </vt:lpstr>
      <vt:lpstr>Obliczenia-AF</vt:lpstr>
      <vt:lpstr>Obliczenia-AE</vt:lpstr>
      <vt:lpstr>Wyniki - RPP</vt:lpstr>
      <vt:lpstr>Wyniki-Luka_FNPV_ENPV   </vt:lpstr>
      <vt:lpstr>Wyniki-Analiza wrażliwości</vt:lpstr>
      <vt:lpstr>Analiza DGC</vt:lpstr>
      <vt:lpstr>Sprzedaż</vt:lpstr>
      <vt:lpstr>Bilans wody</vt:lpstr>
      <vt:lpstr>Bilans Ścieków</vt:lpstr>
      <vt:lpstr>Wykres1 AW</vt:lpstr>
      <vt:lpstr>'Analiza DGC'!Obszar_wydruku</vt:lpstr>
      <vt:lpstr>'Obliczenia-AE'!Obszar_wydruku</vt:lpstr>
      <vt:lpstr>'Wyniki-Luka_FNPV_ENPV   '!Obszar_wydruku</vt:lpstr>
      <vt:lpstr>'Założenia-dane wejściowe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2015-03-24T19:36:49Z</dcterms:created>
  <dcterms:modified xsi:type="dcterms:W3CDTF">2015-07-27T08:19:24Z</dcterms:modified>
</cp:coreProperties>
</file>